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omments4.xml" ContentType="application/vnd.openxmlformats-officedocument.spreadsheetml.comments+xml"/>
  <Override PartName="/xl/drawings/drawing4.xml" ContentType="application/vnd.openxmlformats-officedocument.drawing+xml"/>
  <Override PartName="/xl/comments5.xml" ContentType="application/vnd.openxmlformats-officedocument.spreadsheetml.comments+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harts/chart69.xml" ContentType="application/vnd.openxmlformats-officedocument.drawingml.chart+xml"/>
  <Override PartName="/xl/charts/style69.xml" ContentType="application/vnd.ms-office.chartstyle+xml"/>
  <Override PartName="/xl/charts/colors69.xml" ContentType="application/vnd.ms-office.chartcolorstyle+xml"/>
  <Override PartName="/xl/charts/chart70.xml" ContentType="application/vnd.openxmlformats-officedocument.drawingml.chart+xml"/>
  <Override PartName="/xl/charts/style70.xml" ContentType="application/vnd.ms-office.chartstyle+xml"/>
  <Override PartName="/xl/charts/colors70.xml" ContentType="application/vnd.ms-office.chartcolorstyle+xml"/>
  <Override PartName="/xl/charts/chart71.xml" ContentType="application/vnd.openxmlformats-officedocument.drawingml.chart+xml"/>
  <Override PartName="/xl/charts/style71.xml" ContentType="application/vnd.ms-office.chartstyle+xml"/>
  <Override PartName="/xl/charts/colors71.xml" ContentType="application/vnd.ms-office.chartcolorstyle+xml"/>
  <Override PartName="/xl/charts/chart72.xml" ContentType="application/vnd.openxmlformats-officedocument.drawingml.chart+xml"/>
  <Override PartName="/xl/charts/style72.xml" ContentType="application/vnd.ms-office.chartstyle+xml"/>
  <Override PartName="/xl/charts/colors72.xml" ContentType="application/vnd.ms-office.chartcolorstyle+xml"/>
  <Override PartName="/xl/drawings/drawing5.xml" ContentType="application/vnd.openxmlformats-officedocument.drawing+xml"/>
  <Override PartName="/xl/comments6.xml" ContentType="application/vnd.openxmlformats-officedocument.spreadsheetml.comments+xml"/>
  <Override PartName="/xl/charts/chart73.xml" ContentType="application/vnd.openxmlformats-officedocument.drawingml.chart+xml"/>
  <Override PartName="/xl/charts/style73.xml" ContentType="application/vnd.ms-office.chartstyle+xml"/>
  <Override PartName="/xl/charts/colors73.xml" ContentType="application/vnd.ms-office.chartcolorstyle+xml"/>
  <Override PartName="/xl/charts/chart74.xml" ContentType="application/vnd.openxmlformats-officedocument.drawingml.chart+xml"/>
  <Override PartName="/xl/charts/style74.xml" ContentType="application/vnd.ms-office.chartstyle+xml"/>
  <Override PartName="/xl/charts/colors74.xml" ContentType="application/vnd.ms-office.chartcolorstyle+xml"/>
  <Override PartName="/xl/charts/chart75.xml" ContentType="application/vnd.openxmlformats-officedocument.drawingml.chart+xml"/>
  <Override PartName="/xl/charts/style75.xml" ContentType="application/vnd.ms-office.chartstyle+xml"/>
  <Override PartName="/xl/charts/colors75.xml" ContentType="application/vnd.ms-office.chartcolorstyle+xml"/>
  <Override PartName="/xl/charts/chart76.xml" ContentType="application/vnd.openxmlformats-officedocument.drawingml.chart+xml"/>
  <Override PartName="/xl/charts/style76.xml" ContentType="application/vnd.ms-office.chartstyle+xml"/>
  <Override PartName="/xl/charts/colors76.xml" ContentType="application/vnd.ms-office.chartcolorstyle+xml"/>
  <Override PartName="/xl/charts/chart77.xml" ContentType="application/vnd.openxmlformats-officedocument.drawingml.chart+xml"/>
  <Override PartName="/xl/charts/style77.xml" ContentType="application/vnd.ms-office.chartstyle+xml"/>
  <Override PartName="/xl/charts/colors77.xml" ContentType="application/vnd.ms-office.chartcolorstyle+xml"/>
  <Override PartName="/xl/charts/chart78.xml" ContentType="application/vnd.openxmlformats-officedocument.drawingml.chart+xml"/>
  <Override PartName="/xl/charts/style78.xml" ContentType="application/vnd.ms-office.chartstyle+xml"/>
  <Override PartName="/xl/charts/colors78.xml" ContentType="application/vnd.ms-office.chartcolorstyle+xml"/>
  <Override PartName="/xl/charts/chart79.xml" ContentType="application/vnd.openxmlformats-officedocument.drawingml.chart+xml"/>
  <Override PartName="/xl/charts/style79.xml" ContentType="application/vnd.ms-office.chartstyle+xml"/>
  <Override PartName="/xl/charts/colors79.xml" ContentType="application/vnd.ms-office.chartcolorstyle+xml"/>
  <Override PartName="/xl/drawings/drawing6.xml" ContentType="application/vnd.openxmlformats-officedocument.drawing+xml"/>
  <Override PartName="/xl/charts/chart80.xml" ContentType="application/vnd.openxmlformats-officedocument.drawingml.chart+xml"/>
  <Override PartName="/xl/charts/style80.xml" ContentType="application/vnd.ms-office.chartstyle+xml"/>
  <Override PartName="/xl/charts/colors80.xml" ContentType="application/vnd.ms-office.chartcolorstyle+xml"/>
  <Override PartName="/xl/charts/chart81.xml" ContentType="application/vnd.openxmlformats-officedocument.drawingml.chart+xml"/>
  <Override PartName="/xl/charts/style81.xml" ContentType="application/vnd.ms-office.chartstyle+xml"/>
  <Override PartName="/xl/charts/colors81.xml" ContentType="application/vnd.ms-office.chartcolorstyle+xml"/>
  <Override PartName="/xl/charts/chart82.xml" ContentType="application/vnd.openxmlformats-officedocument.drawingml.chart+xml"/>
  <Override PartName="/xl/charts/style82.xml" ContentType="application/vnd.ms-office.chartstyle+xml"/>
  <Override PartName="/xl/charts/colors82.xml" ContentType="application/vnd.ms-office.chartcolorstyle+xml"/>
  <Override PartName="/xl/comments7.xml" ContentType="application/vnd.openxmlformats-officedocument.spreadsheetml.comments+xml"/>
  <Override PartName="/xl/comments8.xml" ContentType="application/vnd.openxmlformats-officedocument.spreadsheetml.comments+xml"/>
  <Override PartName="/xl/drawings/drawing7.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S:\TELECOMS\STOCKS\EMEA\Latam\Brazil\Nubank\Models\Current\"/>
    </mc:Choice>
  </mc:AlternateContent>
  <xr:revisionPtr revIDLastSave="0" documentId="13_ncr:1_{C8D5640A-8464-4EC0-9677-C46AF9776864}" xr6:coauthVersionLast="47" xr6:coauthVersionMax="47" xr10:uidLastSave="{00000000-0000-0000-0000-000000000000}"/>
  <bookViews>
    <workbookView xWindow="-96" yWindow="-96" windowWidth="20928" windowHeight="12432" tabRatio="844" xr2:uid="{1CCD19E4-6B4D-4B36-8063-07616E35138A}"/>
  </bookViews>
  <sheets>
    <sheet name="Cover" sheetId="1" r:id="rId1"/>
    <sheet name="Master" sheetId="2" r:id="rId2"/>
    <sheet name="Consensus" sheetId="20" r:id="rId3"/>
    <sheet name="Quarts" sheetId="3" r:id="rId4"/>
    <sheet name="Analysis" sheetId="13" r:id="rId5"/>
    <sheet name="Revenue and Expenses breakdown" sheetId="8" r:id="rId6"/>
    <sheet name="Earnings snap" sheetId="19" r:id="rId7"/>
    <sheet name="Drivers" sheetId="10" r:id="rId8"/>
    <sheet name="Notes" sheetId="16" r:id="rId9"/>
    <sheet name="bcb" sheetId="23" r:id="rId10"/>
    <sheet name="Valuation" sheetId="5" r:id="rId11"/>
    <sheet name="Banks comps" sheetId="22" r:id="rId12"/>
    <sheet name="BS Estimates" sheetId="21" r:id="rId13"/>
    <sheet name="Macro" sheetId="4" r:id="rId14"/>
    <sheet name="Summary" sheetId="14" r:id="rId15"/>
    <sheet name="Summary II" sheetId="15" r:id="rId16"/>
    <sheet name="Comps link" sheetId="18" r:id="rId17"/>
    <sheet name="FIG ratios" sheetId="17" r:id="rId18"/>
    <sheet name="Customers" sheetId="12" state="hidden" r:id="rId19"/>
    <sheet name="Subs" sheetId="9" state="hidden"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Admin" hidden="1">"No"</definedName>
    <definedName name="_Fill" hidden="1">#REF!</definedName>
    <definedName name="_xlnm._FilterDatabase" localSheetId="4" hidden="1">Analysis!$B$749:$H$755</definedName>
    <definedName name="_xlnm._FilterDatabase" hidden="1">#REF!</definedName>
    <definedName name="_GSR008" hidden="1">[1]Equipment!$E$134:$DT$134</definedName>
    <definedName name="_GSR012" hidden="1">[1]Equipment!$E$185:$DT$185</definedName>
    <definedName name="_InAdmin" hidden="1">"No"</definedName>
    <definedName name="_Key1" hidden="1">#REF!</definedName>
    <definedName name="_LegalOk" hidden="1">"No"</definedName>
    <definedName name="_MC16" hidden="1">[1]Equipment!$E$80:$DT$80</definedName>
    <definedName name="_MC28" hidden="1">[1]Equipment!$E$77:$DT$77</definedName>
    <definedName name="_Order1" hidden="1">255</definedName>
    <definedName name="_Order2" hidden="1">0</definedName>
    <definedName name="_Sort" hidden="1">#REF!</definedName>
    <definedName name="adfa" hidden="1">#REF!</definedName>
    <definedName name="anscount" hidden="1">2</definedName>
    <definedName name="AP" hidden="1">[1]Model!$E$41</definedName>
    <definedName name="ARPUInput" hidden="1">[1]Model!$E$142:$DT$142</definedName>
    <definedName name="asdfdf" localSheetId="15" hidden="1">{#N/A,#N/A,FALSE,"Statement of Ops";#N/A,#N/A,FALSE,"Trend Ops"}</definedName>
    <definedName name="asdfdf" hidden="1">{#N/A,#N/A,FALSE,"Statement of Ops";#N/A,#N/A,FALSE,"Trend Ops"}</definedName>
    <definedName name="Assumptions" hidden="1">[1]Model!$A$30:$A$122</definedName>
    <definedName name="AvgVoiceLines" hidden="1">[1]Model!$E$136:$DT$136</definedName>
    <definedName name="Balance_Sheet" hidden="1">'[1]Financial Statements'!$A$126:$A$177</definedName>
    <definedName name="bb" localSheetId="15" hidden="1">{#N/A,#N/A,FALSE,"Statement of Ops";#N/A,#N/A,FALSE,"Trend Ops"}</definedName>
    <definedName name="bb" hidden="1">{#N/A,#N/A,FALSE,"Statement of Ops";#N/A,#N/A,FALSE,"Trend Ops"}</definedName>
    <definedName name="BPackClust" hidden="1">[1]Equipment!$E$226:$DT$226</definedName>
    <definedName name="BPackRTU" hidden="1">[1]Equipment!$E$220:$DT$220</definedName>
    <definedName name="BPackRTUCapex" hidden="1">[1]Capex!$E$220:$DT$220</definedName>
    <definedName name="BPackRTULife" hidden="1">[1]Capex!$C$116</definedName>
    <definedName name="BPackRTUMaint" hidden="1">[1]Capex!$E$248:$DT$248</definedName>
    <definedName name="BTS" hidden="1">[1]Equipment!$E$212:$DT$212</definedName>
    <definedName name="BTSAppRTUCapex" hidden="1">[1]Capex!$E$218:$DT$218</definedName>
    <definedName name="BTSAppRTULife" hidden="1">[1]Capex!$C$114</definedName>
    <definedName name="BTSAppRTUMaint" hidden="1">[1]Capex!$E$247:$DT$247</definedName>
    <definedName name="BTSLife" hidden="1">[1]Capex!$C$112</definedName>
    <definedName name="BTSPlatRTUCapex" hidden="1">[1]Capex!$E$217:$DT$217</definedName>
    <definedName name="BTSPlatRTULife" hidden="1">[1]Capex!$C$113</definedName>
    <definedName name="BTSPlatRTUMaint" hidden="1">[1]Capex!$E$246:$DT$246</definedName>
    <definedName name="BTSRTU" hidden="1">[1]Equipment!$E$206:$DT$206</definedName>
    <definedName name="CalcSetting" hidden="1">[1]Equipment!$B$10</definedName>
    <definedName name="CallMgmtPctInbound" hidden="1">[1]Model!$E$118:$DT$118</definedName>
    <definedName name="CallMgmtPctOutbound" hidden="1">[1]Model!$E$119:$DT$119</definedName>
    <definedName name="Card" hidden="1">[1]Equipment!$E$40:$DT$40</definedName>
    <definedName name="CardInput" hidden="1">'[1]Capex Input'!$E$48:$DT$48</definedName>
    <definedName name="Cash_Flow_Statement" hidden="1">'[1]Financial Statements'!$A$69:$A$122</definedName>
    <definedName name="CHT" hidden="1">[1]Equipment!$E$202:$DT$202</definedName>
    <definedName name="CHTInput" hidden="1">'[1]Capex Input'!$E$41:$DT$41</definedName>
    <definedName name="CMTSInputs" hidden="1">[1]Equipment!$E$13:$DT$57</definedName>
    <definedName name="CMTSOutputs" hidden="1">[1]Equipment!$E$59:$DT$68</definedName>
    <definedName name="CNAMPctInbound" hidden="1">[1]Model!$E$116:$DT$116</definedName>
    <definedName name="CNAMPctOutbound" hidden="1">[1]Model!$E$117:$DT$117</definedName>
    <definedName name="CodecInput" hidden="1">'[1]Capex Input'!$E$33:$DT$33</definedName>
    <definedName name="Cognit" hidden="1">[1]Equipment!$E$235:$DT$235</definedName>
    <definedName name="ColCount" hidden="1">[1]Equipment!$B$11</definedName>
    <definedName name="cost_of_capital" hidden="1">[1]Model!$E$43</definedName>
    <definedName name="CPULimit" hidden="1">[1]Equipment!$E$56:$DT$56</definedName>
    <definedName name="CPUPerDataSub" hidden="1">[1]Equipment!$E$36:$DT$36</definedName>
    <definedName name="CPUPerDS0" hidden="1">[1]Equipment!$E$35:$DT$35</definedName>
    <definedName name="CPUUtil" hidden="1">[1]Equipment!$E$63:$DT$63</definedName>
    <definedName name="CPUUtilData" hidden="1">[1]Equipment!$E$68:$DT$68</definedName>
    <definedName name="DB">"WIRENYPROD"</definedName>
    <definedName name="dere" localSheetId="15" hidden="1">{#N/A,#N/A,FALSE,"Statement of Ops";#N/A,#N/A,FALSE,"Trend Ops"}</definedName>
    <definedName name="dere" hidden="1">{#N/A,#N/A,FALSE,"Statement of Ops";#N/A,#N/A,FALSE,"Trend Ops"}</definedName>
    <definedName name="dfdfd" localSheetId="15" hidden="1">{#N/A,#N/A,FALSE,"Statement of Ops";#N/A,#N/A,FALSE,"Trend Ops"}</definedName>
    <definedName name="dfdfd" hidden="1">{#N/A,#N/A,FALSE,"Statement of Ops";#N/A,#N/A,FALSE,"Trend Ops"}</definedName>
    <definedName name="dfsdf" localSheetId="15" hidden="1">{#N/A,#N/A,FALSE,"Statement of Ops";#N/A,#N/A,FALSE,"Trend Ops"}</definedName>
    <definedName name="dfsdf" hidden="1">{#N/A,#N/A,FALSE,"Statement of Ops";#N/A,#N/A,FALSE,"Trend Ops"}</definedName>
    <definedName name="dsf" localSheetId="15" hidden="1">{#N/A,#N/A,FALSE,"Statement of Ops";#N/A,#N/A,FALSE,"Trend Ops"}</definedName>
    <definedName name="dsf" hidden="1">{#N/A,#N/A,FALSE,"Statement of Ops";#N/A,#N/A,FALSE,"Trend Ops"}</definedName>
    <definedName name="DSPerDataSub" hidden="1">[1]Equipment!$E$30:$DT$30</definedName>
    <definedName name="DSPerDataSubInput" hidden="1">'[1]Capex Input'!$E$42:$DT$42</definedName>
    <definedName name="DSPerDom" hidden="1">[1]Equipment!$E$46:$DT$46</definedName>
    <definedName name="DSPerDS0" hidden="1">[1]Equipment!$E$24:$DT$24</definedName>
    <definedName name="DSUtil" hidden="1">[1]Equipment!$E$60:$DT$60</definedName>
    <definedName name="DSUtilData" hidden="1">[1]Equipment!$E$65:$DT$65</definedName>
    <definedName name="DualPctData" hidden="1">[1]Capex!$E$32:$DT$32</definedName>
    <definedName name="DualPctVoiceInput" hidden="1">[1]Model!$E$86:$DT$86</definedName>
    <definedName name="eeeeeeeeee" localSheetId="15" hidden="1">{#N/A,#N/A,FALSE,"Statement of Ops";#N/A,#N/A,FALSE,"Trend Ops"}</definedName>
    <definedName name="eeeeeeeeee" hidden="1">{#N/A,#N/A,FALSE,"Statement of Ops";#N/A,#N/A,FALSE,"Trend Ops"}</definedName>
    <definedName name="Equipment_and_CAPEX" hidden="1">[1]Model!$A$199:$A$265</definedName>
    <definedName name="erere" localSheetId="15" hidden="1">{#N/A,#N/A,FALSE,"Statement of Ops";#N/A,#N/A,FALSE,"Trend Ops"}</definedName>
    <definedName name="erere" hidden="1">{#N/A,#N/A,FALSE,"Statement of Ops";#N/A,#N/A,FALSE,"Trend Ops"}</definedName>
    <definedName name="ererere" localSheetId="15" hidden="1">{#N/A,#N/A,FALSE,"Statement of Ops";#N/A,#N/A,FALSE,"Trend Ops"}</definedName>
    <definedName name="ererere" hidden="1">{#N/A,#N/A,FALSE,"Statement of Ops";#N/A,#N/A,FALSE,"Trend Ops"}</definedName>
    <definedName name="ErlangsPerLine" hidden="1">[1]Equipment!$E$29:$DT$29</definedName>
    <definedName name="ErlangsPerLineInput" hidden="1">'[1]Capex Input'!$E$40:$DT$40</definedName>
    <definedName name="g_Cumulative_Net_Income" hidden="1">[1]Results!$P$157:$AH$192</definedName>
    <definedName name="g_Discounted_Cash" hidden="1">[1]Results!$A$341:$M$376</definedName>
    <definedName name="g_Expenses" hidden="1">[1]Results!$P$203:$AH$238</definedName>
    <definedName name="g_IRR" hidden="1">[1]Results!$P$65:$AH$100</definedName>
    <definedName name="g_Net_Income" hidden="1">[1]Results!$A$157:$M$192</definedName>
    <definedName name="g_NPV" hidden="1">[1]Results!$A$65:$M$100</definedName>
    <definedName name="g_Service_Revenue" hidden="1">[1]Results!$A$203:$M$238</definedName>
    <definedName name="g_User_defined_1" hidden="1">[1]Results!$A$249:$M$284</definedName>
    <definedName name="g_User_defined_2" hidden="1">[1]Results!$P$249:$AH$284</definedName>
    <definedName name="g_User_defined_3" hidden="1">[1]Results!$A$295:$M$330</definedName>
    <definedName name="g_User_defined_4" hidden="1">[1]Results!$P$295:$AH$330</definedName>
    <definedName name="GBPUSD">[2]Summary!$C$84</definedName>
    <definedName name="GOS" hidden="1">[1]Equipment!$E$23:$DT$23</definedName>
    <definedName name="GOSInput" hidden="1">'[1]Capex Input'!$E$36:$DT$36</definedName>
    <definedName name="Graphs" hidden="1">[1]Results!$A$49:$A$62</definedName>
    <definedName name="GrossAddDual" hidden="1">[1]Model!$E$104:$DT$104</definedName>
    <definedName name="GrossAddFromHSD" hidden="1">[1]Model!$E$102:$DT$102</definedName>
    <definedName name="GrossAddVoiceOnly" hidden="1">[1]Model!$E$100:$DT$100</definedName>
    <definedName name="GrossLineAdds" hidden="1">[1]Model!$E$107:$DT$107</definedName>
    <definedName name="GSR008Data" hidden="1">[1]Equipment!$E$143:$DT$143</definedName>
    <definedName name="GSR012Data" hidden="1">[1]Equipment!$E$191:$DT$191</definedName>
    <definedName name="GSR1OC12_CMTS" hidden="1">[1]Equipment!$E$131:$DT$131</definedName>
    <definedName name="GSR1OC12Data_CMTS" hidden="1">[1]Equipment!$E$140:$DT$140</definedName>
    <definedName name="GSR4OC12_DC" hidden="1">[1]Equipment!$E$179:$DT$179</definedName>
    <definedName name="GSR4OC12ATM" hidden="1">[1]Equipment!$E$182:$DT$182</definedName>
    <definedName name="GSR4OC12Data_DC" hidden="1">[1]Equipment!$E$188:$DT$188</definedName>
    <definedName name="GSR4OC3_CMTS" hidden="1">[1]Equipment!$E$128:$DT$128</definedName>
    <definedName name="GSR4OC3Data_CMTS" hidden="1">[1]Equipment!$E$137:$DT$137</definedName>
    <definedName name="GSRCapex" hidden="1">[1]Capex!$E$266:$DT$266</definedName>
    <definedName name="GSRLife" hidden="1">[1]Capex!$C$102</definedName>
    <definedName name="GSRMaint" hidden="1">[1]Capex!$E$291:$DT$291</definedName>
    <definedName name="h.IsCSM" hidden="1">"CSModel"</definedName>
    <definedName name="HHP" hidden="1">[1]Capex!$E$12:$DT$12</definedName>
    <definedName name="HHPInput" hidden="1">[1]Model!$E$71:$DT$71</definedName>
    <definedName name="HTML_CodePage" hidden="1">1252</definedName>
    <definedName name="HTML_Description" hidden="1">"IBN Products"</definedName>
    <definedName name="HTML_Email" hidden="1">""</definedName>
    <definedName name="HTML_Header" hidden="1">"Edit"</definedName>
    <definedName name="HTML_LastUpdate" hidden="1">"24/05/97"</definedName>
    <definedName name="HTML_LineAfter" hidden="1">FALSE</definedName>
    <definedName name="HTML_LineBefore" hidden="1">TRUE</definedName>
    <definedName name="HTML_Name" hidden="1">"Mike Bibbings"</definedName>
    <definedName name="HTML_OBDlg2" hidden="1">TRUE</definedName>
    <definedName name="HTML_OBDlg4" hidden="1">TRUE</definedName>
    <definedName name="HTML_OS" hidden="1">0</definedName>
    <definedName name="HTML_PathFile" hidden="1">"C:\My Documents\mmelHTML.htm"</definedName>
    <definedName name="HTML_Title" hidden="1">"Master Edit List"</definedName>
    <definedName name="HubSize" hidden="1">[1]Equipment!$E$17:$DT$17</definedName>
    <definedName name="HubSizeInput" hidden="1">'[1]Capex Input'!$E$27:$DT$27</definedName>
    <definedName name="Income_Statement" hidden="1">'[1]Financial Statements'!$A$31:$A$65</definedName>
    <definedName name="income_tax_rate" hidden="1">[1]Model!$E$42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39420.5584027778</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k" hidden="1">#REF!</definedName>
    <definedName name="LATASize" hidden="1">[1]Equipment!$E$149:$DT$149</definedName>
    <definedName name="LATASizeInput" hidden="1">'[1]Capex Input'!$E$28:$DT$28</definedName>
    <definedName name="LegalOk" hidden="1">"No"</definedName>
    <definedName name="limcount" hidden="1">1</definedName>
    <definedName name="LinesPerFN" hidden="1">[1]Equipment!$E$15:$DT$15</definedName>
    <definedName name="LinesPerSubInput" hidden="1">[1]Model!$E$77:$DT$77</definedName>
    <definedName name="lll" localSheetId="15" hidden="1">{#N/A,#N/A,FALSE,"Statement of Ops";#N/A,#N/A,FALSE,"Trend Ops"}</definedName>
    <definedName name="lll" hidden="1">{#N/A,#N/A,FALSE,"Statement of Ops";#N/A,#N/A,FALSE,"Trend Ops"}</definedName>
    <definedName name="llll" localSheetId="15" hidden="1">{#N/A,#N/A,FALSE,"Statement of Ops";#N/A,#N/A,FALSE,"Trend Ops"}</definedName>
    <definedName name="llll" hidden="1">{#N/A,#N/A,FALSE,"Statement of Ops";#N/A,#N/A,FALSE,"Trend Ops"}</definedName>
    <definedName name="lllll" localSheetId="15" hidden="1">{#N/A,#N/A,FALSE,"Statement of Ops";#N/A,#N/A,FALSE,"Trend Ops"}</definedName>
    <definedName name="lllll" hidden="1">{#N/A,#N/A,FALSE,"Statement of Ops";#N/A,#N/A,FALSE,"Trend Ops"}</definedName>
    <definedName name="LNPPct" hidden="1">[1]Model!$E$120:$DT$120</definedName>
    <definedName name="LookupAppRTU" hidden="1">'[1]BTS Tables'!$B$30:$B$81</definedName>
    <definedName name="LookupCPS" hidden="1">'[1]BTS Tables'!$A$3:$A$27</definedName>
    <definedName name="LookupLines" hidden="1">'[1]BTS Tables'!$A$30:$A$81</definedName>
    <definedName name="LookupPlatRTU" hidden="1">'[1]BTS Tables'!$B$3:$B$27</definedName>
    <definedName name="MC16Data" hidden="1">[1]Equipment!$E$98:$DT$98</definedName>
    <definedName name="MC28Data" hidden="1">[1]Equipment!$E$95:$DT$95</definedName>
    <definedName name="md" hidden="1">[1]Model!$E$52</definedName>
    <definedName name="MGX" hidden="1">[1]Equipment!$E$161:$DT$161</definedName>
    <definedName name="MGXCapex" hidden="1">[1]Capex!$E$267:$DT$267</definedName>
    <definedName name="MGXLife" hidden="1">[1]Capex!$C$108</definedName>
    <definedName name="MGXMaint" hidden="1">[1]Capex!$E$292:$DT$292</definedName>
    <definedName name="MinPerLineLocal" hidden="1">[1]Model!$E$111:$DT$111</definedName>
    <definedName name="MinPerLineToll" hidden="1">[1]Model!$E$112:$DT$112</definedName>
    <definedName name="mv" hidden="1">[1]Model!$E$51</definedName>
    <definedName name="OnNetMaxInput" hidden="1">'[1]Capex Input'!$E$29:$DT$29</definedName>
    <definedName name="Operations" hidden="1">[1]Model!$A$269:$A$412</definedName>
    <definedName name="OSSInput" hidden="1">'[1]Capex Input'!$E$144:$DT$144</definedName>
    <definedName name="p" hidden="1">[1]Model!$E$53</definedName>
    <definedName name="PentrData" hidden="1">[1]Equipment!$E$4:$DT$4</definedName>
    <definedName name="PentrDataInput" hidden="1">[1]Model!$E$76:$DT$76</definedName>
    <definedName name="PentrVoice" hidden="1">[1]Equipment!$E$2:$DT$2</definedName>
    <definedName name="PentrVoiceInput" hidden="1">[1]Model!$E$75:$DT$75</definedName>
    <definedName name="PHSInput" hidden="1">'[1]Capex Input'!$E$35:$DT$35</definedName>
    <definedName name="PlatformInput" hidden="1">'[1]Capex Input'!$E$47:$DT$47</definedName>
    <definedName name="_xlnm.Print_Area">#REF!</definedName>
    <definedName name="_xlnm.Print_Titles">#REF!</definedName>
    <definedName name="Q1_Account">#REF!</definedName>
    <definedName name="Q1_Coding">#REF!</definedName>
    <definedName name="Q1_Data">#REF!</definedName>
    <definedName name="Q1_Period">#REF!</definedName>
    <definedName name="Q1_TP">#REF!</definedName>
    <definedName name="Q2_Account">#REF!</definedName>
    <definedName name="Q2_Coding">#REF!</definedName>
    <definedName name="Q2_Data">#REF!</definedName>
    <definedName name="Q2_Period">#REF!</definedName>
    <definedName name="Q2_TP">#REF!</definedName>
    <definedName name="Q3_Account">#REF!</definedName>
    <definedName name="Q3_Coding">#REF!</definedName>
    <definedName name="Q3_Data">#REF!</definedName>
    <definedName name="Q3_Period">#REF!</definedName>
    <definedName name="Q3_TP">#REF!</definedName>
    <definedName name="Q4_Account">#REF!</definedName>
    <definedName name="Q4_Coding">#REF!</definedName>
    <definedName name="Q4_Data">#REF!</definedName>
    <definedName name="Q4_Period">#REF!</definedName>
    <definedName name="Q4_TP">#REF!</definedName>
    <definedName name="QC用労働時間有">'[3]03FY 2nd Hafl Latest Estimate'!$A$1:$A$2638</definedName>
    <definedName name="QC用労働時間無">'[3]03FY 2nd Hafl Latest Estimate'!$A$1:$D$618</definedName>
    <definedName name="RedundantEdgeInput" hidden="1">'[1]Capex Input'!$E$51:$DT$51</definedName>
    <definedName name="RedundantGWInput" hidden="1">'[1]Capex Input'!$E$53:$DT$53</definedName>
    <definedName name="RedundNInput" hidden="1">'[1]Capex Input'!$E$58:$DT$58</definedName>
    <definedName name="Repdate1">#REF!</definedName>
    <definedName name="Repdate2">#REF!</definedName>
    <definedName name="RF" hidden="1">[1]Equipment!$E$92:$DT$92</definedName>
    <definedName name="RFData" hidden="1">[1]Equipment!$E$110:$DT$110</definedName>
    <definedName name="rngColData">'[4]RevCost Report'!$G$1:$Y$65536,'[4]RevCost Report'!$AA$1:$BV$65536</definedName>
    <definedName name="rngColHidden">'[4]RevCost Report'!$A$1:$B$65536,'[4]RevCost Report'!$D$1:$D$65536</definedName>
    <definedName name="rngHideMissingColumns">FALSE</definedName>
    <definedName name="rngHideMissingRows">FALSE</definedName>
    <definedName name="rngRowHidden">'[4]RevCost Report'!$A$4:$IV$5,'[4]RevCost Report'!$A$11:$IV$17</definedName>
    <definedName name="RoutesPerLATA" hidden="1">[1]Model!$E$114:$DT$114</definedName>
    <definedName name="Rpt_Month">[5]★ﾒﾆｭｰ!$I$31</definedName>
    <definedName name="Rpt_Year">[5]★ﾒﾆｭｰ!$I$30</definedName>
    <definedName name="SalvagePct" hidden="1">[1]Model!$E$38</definedName>
    <definedName name="SampleInput" hidden="1">'[1]Capex Input'!$E$34:$DT$34</definedName>
    <definedName name="SAPBEXhrIndnt" hidden="1">1</definedName>
    <definedName name="SAPBEXrevision" hidden="1">0</definedName>
    <definedName name="SAPBEXsysID" hidden="1">"UBP"</definedName>
    <definedName name="SAPBEXwbID" hidden="1">"46ZQZIX9P9TMSSGKMZCTXHTXP"</definedName>
    <definedName name="sdsdsd" localSheetId="15" hidden="1">{#N/A,#N/A,FALSE,"Statement of Ops";#N/A,#N/A,FALSE,"Trend Ops"}</definedName>
    <definedName name="sdsdsd" hidden="1">{#N/A,#N/A,FALSE,"Statement of Ops";#N/A,#N/A,FALSE,"Trend Ops"}</definedName>
    <definedName name="Select_Inc_Exp">[6]Ref!$B$12</definedName>
    <definedName name="sencount" hidden="1">2</definedName>
    <definedName name="ServerHWCapex" hidden="1">[1]Capex!$E$268:$DT$268</definedName>
    <definedName name="ServerHWMaint" hidden="1">[1]Capex!$E$293:$DT$293</definedName>
    <definedName name="Services_and_Revenue" hidden="1">[1]Model!$A$126:$A$195</definedName>
    <definedName name="sfsdf" localSheetId="15" hidden="1">{#N/A,#N/A,FALSE,"Statement of Ops";#N/A,#N/A,FALSE,"Trend Ops"}</definedName>
    <definedName name="sfsdf" hidden="1">{#N/A,#N/A,FALSE,"Statement of Ops";#N/A,#N/A,FALSE,"Trend Ops"}</definedName>
    <definedName name="Sheetname_Instructions">[6]Ref!#REF!</definedName>
    <definedName name="show_base">[6]WaterFall_Prep!$U$1</definedName>
    <definedName name="show_newbase">[6]WaterFall_Prep!$W$1</definedName>
    <definedName name="show_pctchange">[6]WaterFall_Prep!$Y$1</definedName>
    <definedName name="solver_adj" localSheetId="7" hidden="1">Drivers!$C$194:$C$195</definedName>
    <definedName name="solver_cvg" hidden="1">0.001</definedName>
    <definedName name="solver_drv" hidden="1">1</definedName>
    <definedName name="solver_eng" localSheetId="7" hidden="1">1</definedName>
    <definedName name="solver_est" hidden="1">1</definedName>
    <definedName name="solver_itr" hidden="1">100</definedName>
    <definedName name="solver_lin" hidden="1">2</definedName>
    <definedName name="solver_neg" localSheetId="7" hidden="1">1</definedName>
    <definedName name="solver_neg" hidden="1">2</definedName>
    <definedName name="solver_num" localSheetId="7" hidden="1">0</definedName>
    <definedName name="solver_num" hidden="1">0</definedName>
    <definedName name="solver_nwt" hidden="1">1</definedName>
    <definedName name="solver_opt" localSheetId="7" hidden="1">Drivers!#REF!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localSheetId="7" hidden="1">3</definedName>
    <definedName name="solver_typ" hidden="1">1</definedName>
    <definedName name="solver_val" localSheetId="7" hidden="1">0.0121</definedName>
    <definedName name="solver_val" hidden="1">0</definedName>
    <definedName name="solver_ver" localSheetId="7" hidden="1">3</definedName>
    <definedName name="SPAPrint">[7]SPA!$A$1:$AD$48,[7]SPA!$A$90:$AD$137</definedName>
    <definedName name="subs1" localSheetId="15"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subs1"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subtotal">[8]基礎ﾃﾞｰﾀ!#REF!</definedName>
    <definedName name="TA">[3]Sheet3!$A$1:$E$196</definedName>
    <definedName name="Trend_Start">[5]★ﾒﾆｭｰ!$L$31</definedName>
    <definedName name="uBR10Data" hidden="1">[1]Equipment!$E$100:$DT$100</definedName>
    <definedName name="uBR1OC12" hidden="1">[1]Equipment!$E$91:$DT$91</definedName>
    <definedName name="uBR1OC12Data" hidden="1">[1]Equipment!$E$109:$DT$109</definedName>
    <definedName name="uBR1OC3" hidden="1">[1]Equipment!$E$88:$DT$88</definedName>
    <definedName name="uBR1OC3Data" hidden="1">[1]Equipment!$E$106:$DT$106</definedName>
    <definedName name="uBR7Data" hidden="1">[1]Equipment!$E$103:$DT$103</definedName>
    <definedName name="uBRCapex" hidden="1">[1]Capex!$E$265:$DT$265</definedName>
    <definedName name="uBRLife" hidden="1">[1]Capex!$C$92</definedName>
    <definedName name="uBRMaint" hidden="1">[1]Capex!$E$290:$DT$290</definedName>
    <definedName name="UKPrint">[7]UK!$A$90:$AD$137,[7]UK!$A$1:$AD$48</definedName>
    <definedName name="uOne" hidden="1">[1]Equipment!$E$259:$DT$259</definedName>
    <definedName name="UPIBVPrint">[7]UPIBV!$A$1:$AD$48,[7]UPIBV!$A$90:$AD$137</definedName>
    <definedName name="UPIOPrint">[7]UPIO!$A$90:$AD$137,[7]UPIO!$A$1:$AD$48</definedName>
    <definedName name="UPVPPrint">[7]UPVP!$A$1:$AD$48,[7]UPVP!$A$90:$AD$137</definedName>
    <definedName name="USBandwidth" hidden="1">[1]Equipment!$E$54:$DT$54</definedName>
    <definedName name="USDBRL">[2]Summary!$C$86</definedName>
    <definedName name="USDJPY">[2]Summary!$C$87</definedName>
    <definedName name="UsefulLife" hidden="1">[1]Model!$E$37</definedName>
    <definedName name="USPerDataSub" hidden="1">[1]Equipment!$E$31:$DT$31</definedName>
    <definedName name="USPerDataSubInput" hidden="1">'[1]Capex Input'!$E$43:$DT$43</definedName>
    <definedName name="USPerDom" hidden="1">[1]Equipment!$E$47:$DT$47</definedName>
    <definedName name="USPerDS0" hidden="1">[1]Equipment!$E$25:$DT$25</definedName>
    <definedName name="USUtil" hidden="1">[1]Equipment!$E$61:$DT$61</definedName>
    <definedName name="USUtilData" hidden="1">[1]Equipment!$E$66:$DT$66</definedName>
    <definedName name="valuearea">[9]data!$AQ$26:$CS$864</definedName>
    <definedName name="variance_logic" localSheetId="15">#REF!</definedName>
    <definedName name="variance_logic">#REF!</definedName>
    <definedName name="VerintFixed" hidden="1">[1]Equipment!$E$244:$DT$244</definedName>
    <definedName name="VerintVar" hidden="1">[1]Equipment!$E$250:$DT$250</definedName>
    <definedName name="VISM" hidden="1">[1]Equipment!$E$159:$DT$159</definedName>
    <definedName name="VoiceLines" hidden="1">[1]Model!$E$83:$DT$83</definedName>
    <definedName name="VoiceSubs" hidden="1">[1]Model!$E$81:$DT$81</definedName>
    <definedName name="WANBandwidth" hidden="1">[1]Equipment!$E$55:$DT$55</definedName>
    <definedName name="WANPerDataSub" hidden="1">[1]Equipment!$E$32:$DT$32</definedName>
    <definedName name="WANPerDS0" hidden="1">[1]Equipment!$E$26:$DT$26</definedName>
    <definedName name="WANUtil" hidden="1">[1]Equipment!$E$62:$DT$62</definedName>
    <definedName name="WANUtilData" hidden="1">[1]Equipment!$E$67:$DT$67</definedName>
    <definedName name="WhoIs" hidden="1">"Developed by Cisco Systems, August 2002"</definedName>
    <definedName name="WORKBOOK_SAPBEXq0003" comment="DP_4">"DP_4"</definedName>
    <definedName name="WORKBOOK_SAPBEXq0004" comment="DP_5">"DP_5"</definedName>
    <definedName name="WORKBOOK_SAPBEXq0009" comment="DP_6">"DP_6"</definedName>
    <definedName name="WORKBOOK_SAPBEXq0010" comment="DP_7">"DP_7"</definedName>
    <definedName name="WORKBOOK_SAPBEXq0011" comment="DP_8">"DP_8"</definedName>
    <definedName name="WORKBOOK_SAPBEXq0012" comment="DP_9">"DP_9"</definedName>
    <definedName name="WORKBOOK_SAPBEXq0015" comment="DP_10">"DP_10"</definedName>
    <definedName name="wrn.4Q._.Report." localSheetId="15" hidden="1">{"Summary OCF",#N/A,FALSE,"Summary OCF";"Rev &amp; OCF",#N/A,FALSE,"Revenue and OCF";"Exp",#N/A,FALSE,"Expenses";"Subs",#N/A,FALSE,"Subscribers"}</definedName>
    <definedName name="wrn.4Q._.Report." hidden="1">{"Summary OCF",#N/A,FALSE,"Summary OCF";"Rev &amp; OCF",#N/A,FALSE,"Revenue and OCF";"Exp",#N/A,FALSE,"Expenses";"Subs",#N/A,FALSE,"Subscribers"}</definedName>
    <definedName name="wrn.Budget._.Annual." localSheetId="15" hidden="1">{"Annual P&amp;L",#N/A,TRUE,"P&amp;L";"Annual Revenue 1",#N/A,TRUE,"DetRev";"Annual Revenue 2",#N/A,TRUE,"DetRev";"Annual Tech",#N/A,TRUE,"DetTech";"Annual Customer Service",#N/A,TRUE,"DetCSR";"Annual Marketing",#N/A,TRUE,"DetMrkt";"Annual Online",#N/A,TRUE,"DetOnline";"Annual Telephony",#N/A,TRUE,"DetTelephony";"Annual Adsales",#N/A,TRUE,"DetAdSales";"Annual LO",#N/A,TRUE,"DETLO";"Annual Administration",#N/A,TRUE,"DetAdmin";"Annual Product",#N/A,TRUE,"DetProd";"Annual Manpower",#N/A,TRUE,"Manpower Summary"}</definedName>
    <definedName name="wrn.Budget._.Annual." hidden="1">{"Annual P&amp;L",#N/A,TRUE,"P&amp;L";"Annual Revenue 1",#N/A,TRUE,"DetRev";"Annual Revenue 2",#N/A,TRUE,"DetRev";"Annual Tech",#N/A,TRUE,"DetTech";"Annual Customer Service",#N/A,TRUE,"DetCSR";"Annual Marketing",#N/A,TRUE,"DetMrkt";"Annual Online",#N/A,TRUE,"DetOnline";"Annual Telephony",#N/A,TRUE,"DetTelephony";"Annual Adsales",#N/A,TRUE,"DetAdSales";"Annual LO",#N/A,TRUE,"DETLO";"Annual Administration",#N/A,TRUE,"DetAdmin";"Annual Product",#N/A,TRUE,"DetProd";"Annual Manpower",#N/A,TRUE,"Manpower Summary"}</definedName>
    <definedName name="wrn.Budget._.Trend." localSheetId="15" hidden="1">{"Trend P&amp;L",#N/A,TRUE,"P&amp;L";"Trend Revenue 1",#N/A,TRUE,"DetRev";"Trend Revenue 2",#N/A,TRUE,"DetRev";"Trend Tech",#N/A,TRUE,"DetTech";"Trend Customer Service",#N/A,TRUE,"DetCSR";"Trend Marketing",#N/A,TRUE,"DetMrkt";"Trend Online",#N/A,TRUE,"DetOnline";"Trend Telephony",#N/A,TRUE,"DetTelephony";"Trend Adsales",#N/A,TRUE,"DetAdSales";"Trend LO",#N/A,TRUE,"DETLO";"Trend Administration",#N/A,TRUE,"DetAdmin";"Trend Product",#N/A,TRUE,"DetProd"}</definedName>
    <definedName name="wrn.Budget._.Trend." hidden="1">{"Trend P&amp;L",#N/A,TRUE,"P&amp;L";"Trend Revenue 1",#N/A,TRUE,"DetRev";"Trend Revenue 2",#N/A,TRUE,"DetRev";"Trend Tech",#N/A,TRUE,"DetTech";"Trend Customer Service",#N/A,TRUE,"DetCSR";"Trend Marketing",#N/A,TRUE,"DetMrkt";"Trend Online",#N/A,TRUE,"DetOnline";"Trend Telephony",#N/A,TRUE,"DetTelephony";"Trend Adsales",#N/A,TRUE,"DetAdSales";"Trend LO",#N/A,TRUE,"DETLO";"Trend Administration",#N/A,TRUE,"DetAdmin";"Trend Product",#N/A,TRUE,"DetProd"}</definedName>
    <definedName name="wrn.Cable._.Headcount._.Reports." localSheetId="15" hidden="1">{"Headcount Annual",#N/A,FALSE,"Headcount";"Headcount Monthly",#N/A,FALSE,"Headcount"}</definedName>
    <definedName name="wrn.Cable._.Headcount._.Reports." hidden="1">{"Headcount Annual",#N/A,FALSE,"Headcount";"Headcount Monthly",#N/A,FALSE,"Headcount"}</definedName>
    <definedName name="wrn.Capital." localSheetId="15" hidden="1">{"Capital",#N/A,FALSE,"CapSum"}</definedName>
    <definedName name="wrn.Capital." hidden="1">{"Capital",#N/A,FALSE,"CapSum"}</definedName>
    <definedName name="wrn.Capital._.Report." localSheetId="15" hidden="1">{"Capital",#N/A,FALSE,"CapSum"}</definedName>
    <definedName name="wrn.Capital._.Report." hidden="1">{"Capital",#N/A,FALSE,"CapSum"}</definedName>
    <definedName name="wrn.Capital._.Reports." localSheetId="15" hidden="1">{"Capital Summary",#N/A,FALSE,"CapSum";"Other Capital",#N/A,FALSE,"CapDet";"Construction Report",#N/A,FALSE,"ConstRep"}</definedName>
    <definedName name="wrn.Capital._.Reports." hidden="1">{"Capital Summary",#N/A,FALSE,"CapSum";"Other Capital",#N/A,FALSE,"CapDet";"Construction Report",#N/A,FALSE,"ConstRep"}</definedName>
    <definedName name="wrn.Capital._.Summary." localSheetId="15" hidden="1">{"Capital",#N/A,FALSE,"CapSum"}</definedName>
    <definedName name="wrn.Capital._.Summary." hidden="1">{"Capital",#N/A,FALSE,"CapSum"}</definedName>
    <definedName name="wrn.Current._.Month." localSheetId="15" hidden="1">{"current month",#N/A,FALSE,"Capitalization"}</definedName>
    <definedName name="wrn.Current._.Month." hidden="1">{"current month",#N/A,FALSE,"Capitalization"}</definedName>
    <definedName name="wrn.Digital._.Sub._.Detail." localSheetId="15" hidden="1">{"Digital Detail",#N/A,FALSE,"Digital"}</definedName>
    <definedName name="wrn.Digital._.Sub._.Detail." hidden="1">{"Digital Detail",#N/A,FALSE,"Digital"}</definedName>
    <definedName name="wrn.Financial._.Reports." localSheetId="15" hidden="1">{#N/A,#N/A,FALSE,"Statement of Ops";#N/A,#N/A,FALSE,"Trend Ops";#N/A,#N/A,FALSE,"Revenue";#N/A,#N/A,FALSE,"Trend Rev";#N/A,#N/A,FALSE,"Tech";#N/A,#N/A,FALSE,"Trend Tech";#N/A,#N/A,FALSE,"Cust Serv";#N/A,#N/A,FALSE,"Trend Cust Serv";#N/A,#N/A,FALSE,"Marketing";#N/A,#N/A,FALSE,"Trend Marketing";#N/A,#N/A,FALSE,"Online";#N/A,#N/A,FALSE,"Trend Online";#N/A,#N/A,FALSE,"Telephony";#N/A,#N/A,FALSE,"Trend Telephony";#N/A,#N/A,FALSE,"Ad Sales";#N/A,#N/A,FALSE,"Trend Ad Sales";#N/A,#N/A,FALSE,"LO";#N/A,#N/A,FALSE,"Trend LO";#N/A,#N/A,FALSE,"Admin";#N/A,#N/A,FALSE,"Trend Admin";#N/A,#N/A,FALSE,"Product";#N/A,#N/A,FALSE,"Trend Product"}</definedName>
    <definedName name="wrn.Financial._.Reports." hidden="1">{#N/A,#N/A,FALSE,"Statement of Ops";#N/A,#N/A,FALSE,"Trend Ops";#N/A,#N/A,FALSE,"Revenue";#N/A,#N/A,FALSE,"Trend Rev";#N/A,#N/A,FALSE,"Tech";#N/A,#N/A,FALSE,"Trend Tech";#N/A,#N/A,FALSE,"Cust Serv";#N/A,#N/A,FALSE,"Trend Cust Serv";#N/A,#N/A,FALSE,"Marketing";#N/A,#N/A,FALSE,"Trend Marketing";#N/A,#N/A,FALSE,"Online";#N/A,#N/A,FALSE,"Trend Online";#N/A,#N/A,FALSE,"Telephony";#N/A,#N/A,FALSE,"Trend Telephony";#N/A,#N/A,FALSE,"Ad Sales";#N/A,#N/A,FALSE,"Trend Ad Sales";#N/A,#N/A,FALSE,"LO";#N/A,#N/A,FALSE,"Trend LO";#N/A,#N/A,FALSE,"Admin";#N/A,#N/A,FALSE,"Trend Admin";#N/A,#N/A,FALSE,"Product";#N/A,#N/A,FALSE,"Trend Product"}</definedName>
    <definedName name="wrn.Monthly._.Financial._.Reports." localSheetId="15"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wrn.Monthly._.Financial._.Reports." hidden="1">{"Monthly Rev",#N/A,FALSE,"DetRev";"Monthly Tech",#N/A,FALSE,"DetTech";"Monthly CSR",#N/A,FALSE,"DetCSR";"Monthly Mrkt",#N/A,FALSE,"DetMrkt";"Monthly Online",#N/A,FALSE,"DetOnline";"Monthly AdSales",#N/A,FALSE,"DetAdSales";"Monthly LO",#N/A,FALSE,"DETLO";"Monthly Admin",#N/A,FALSE,"DetAdmin";"Monthly Prod",#N/A,FALSE,"DetProd";"Headcount Monthly",#N/A,FALSE,"Headcount"}</definedName>
    <definedName name="wrn.No._.Ad._.Sales._.Reports." localSheetId="15" hidden="1">{"Annual P&amp;L NoAd",#N/A,FALSE,"P&amp;L No Ad Sales";"Annual Rev NoAd",#N/A,FALSE,"DetRev No Ad Sales";"Monthly P&amp;L NoAd",#N/A,FALSE,"P&amp;L No Ad Sales";"Monthly Rev NoAd",#N/A,FALSE,"DetRev No Ad Sales"}</definedName>
    <definedName name="wrn.No._.Ad._.Sales._.Reports." hidden="1">{"Annual P&amp;L NoAd",#N/A,FALSE,"P&amp;L No Ad Sales";"Annual Rev NoAd",#N/A,FALSE,"DetRev No Ad Sales";"Monthly P&amp;L NoAd",#N/A,FALSE,"P&amp;L No Ad Sales";"Monthly Rev NoAd",#N/A,FALSE,"DetRev No Ad Sales"}</definedName>
    <definedName name="wrn.No._.AdSales._.Annual." localSheetId="15" hidden="1">{"P&amp;L No Ads Annual",#N/A,TRUE,"P&amp;L No Ad Sales";"Revenue No Ads Annual",#N/A,TRUE,"DetRev No Ad Sales"}</definedName>
    <definedName name="wrn.No._.AdSales._.Annual." hidden="1">{"P&amp;L No Ads Annual",#N/A,TRUE,"P&amp;L No Ad Sales";"Revenue No Ads Annual",#N/A,TRUE,"DetRev No Ad Sales"}</definedName>
    <definedName name="wrn.No._.AdSales._.Financial." localSheetId="15" hidden="1">{"Annual P&amp;L No Ads",#N/A,TRUE,"Trend No AdSales";"Monthly P&amp;L No Ads",#N/A,TRUE,"Trend No AdSales";"Annual Rev no Ads",#N/A,TRUE,"Trend Rev No AdSales";"Monthly Rev No Ads",#N/A,TRUE,"Trend Rev No AdSales"}</definedName>
    <definedName name="wrn.No._.AdSales._.Financial." hidden="1">{"Annual P&amp;L No Ads",#N/A,TRUE,"Trend No AdSales";"Monthly P&amp;L No Ads",#N/A,TRUE,"Trend No AdSales";"Annual Rev no Ads",#N/A,TRUE,"Trend Rev No AdSales";"Monthly Rev No Ads",#N/A,TRUE,"Trend Rev No AdSales"}</definedName>
    <definedName name="wrn.No._.Adsales._.Reports." localSheetId="15" hidden="1">{"Trend P&amp;L No Adsales",#N/A,TRUE,"P&amp;L No Ad Sales";"Annual P&amp;L No Adsales",#N/A,TRUE,"P&amp;L No Ad Sales";"Trend Revenue no Adsales",#N/A,TRUE,"DetRev No AdSales";"Annual Revenue No AdSales",#N/A,TRUE,"DetRev No AdSales"}</definedName>
    <definedName name="wrn.No._.Adsales._.Reports." hidden="1">{"Trend P&amp;L No Adsales",#N/A,TRUE,"P&amp;L No Ad Sales";"Annual P&amp;L No Adsales",#N/A,TRUE,"P&amp;L No Ad Sales";"Trend Revenue no Adsales",#N/A,TRUE,"DetRev No AdSales";"Annual Revenue No AdSales",#N/A,TRUE,"DetRev No AdSales"}</definedName>
    <definedName name="wrn.No._.AdSales._.Trend." localSheetId="15" hidden="1">{"P&amp;L No Ads Trend",#N/A,TRUE,"P&amp;L No Ad Sales";"Revenue No Ads Trend",#N/A,TRUE,"DetRev No Ad Sales"}</definedName>
    <definedName name="wrn.No._.AdSales._.Trend." hidden="1">{"P&amp;L No Ads Trend",#N/A,TRUE,"P&amp;L No Ad Sales";"Revenue No Ads Trend",#N/A,TRUE,"DetRev No Ad Sales"}</definedName>
    <definedName name="wrn.Online._.Headcount._.Reports." localSheetId="15" hidden="1">{"Online Headcount Annual",#N/A,FALSE,"Headcount";"Online Headcount Monthly",#N/A,FALSE,"Headcount"}</definedName>
    <definedName name="wrn.Online._.Headcount._.Reports." hidden="1">{"Online Headcount Annual",#N/A,FALSE,"Headcount";"Online Headcount Monthly",#N/A,FALSE,"Headcount"}</definedName>
    <definedName name="wrn.Online._.Sub._.Detail." localSheetId="15" hidden="1">{"Online Detail",#N/A,FALSE,"OnLine"}</definedName>
    <definedName name="wrn.Online._.Sub._.Detail." hidden="1">{"Online Detail",#N/A,FALSE,"OnLine"}</definedName>
    <definedName name="wrn.Pay._.Sub._.Detail." localSheetId="15" hidden="1">{"Pay Detail",#N/A,FALSE,"Pay"}</definedName>
    <definedName name="wrn.Pay._.Sub._.Detail." hidden="1">{"Pay Detail",#N/A,FALSE,"Pay"}</definedName>
    <definedName name="wrn.Trend." localSheetId="15" hidden="1">{"trend",#N/A,TRUE,"Capitalization"}</definedName>
    <definedName name="wrn.Trend." hidden="1">{"trend",#N/A,TRUE,"Capitalization"}</definedName>
    <definedName name="wrn.Trend._.Reports." localSheetId="15" hidden="1">{"P&amp;L Trend",#N/A,TRUE,"P&amp;L";"Revenue Trend",#N/A,TRUE,"DetRev";"Tech Trend",#N/A,TRUE,"DetTech";"Customer Service Trend",#N/A,TRUE,"DetCSR";"Marketing Trend",#N/A,TRUE,"DetMrkt";"Online Trend",#N/A,TRUE,"DetOnline";"Telephony Trend",#N/A,TRUE,"DetTelephony";"Adsales Trend",#N/A,TRUE,"DetAdSales";"LO Trend",#N/A,TRUE,"DETLO";"Admin Trend",#N/A,TRUE,"DetAdmin";"Product Trend",#N/A,TRUE,"DetProd"}</definedName>
    <definedName name="wrn.Trend._.Reports." hidden="1">{"P&amp;L Trend",#N/A,TRUE,"P&amp;L";"Revenue Trend",#N/A,TRUE,"DetRev";"Tech Trend",#N/A,TRUE,"DetTech";"Customer Service Trend",#N/A,TRUE,"DetCSR";"Marketing Trend",#N/A,TRUE,"DetMrkt";"Online Trend",#N/A,TRUE,"DetOnline";"Telephony Trend",#N/A,TRUE,"DetTelephony";"Adsales Trend",#N/A,TRUE,"DetAdSales";"LO Trend",#N/A,TRUE,"DETLO";"Admin Trend",#N/A,TRUE,"DetAdmin";"Product Trend",#N/A,TRUE,"DetProd"}</definedName>
    <definedName name="wwwwwwwwwwwww" localSheetId="15" hidden="1">{#N/A,#N/A,FALSE,"Statement of Ops";#N/A,#N/A,FALSE,"Trend Ops"}</definedName>
    <definedName name="wwwwwwwwwwwww" hidden="1">{#N/A,#N/A,FALSE,"Statement of Ops";#N/A,#N/A,FALSE,"Trend Ops"}</definedName>
    <definedName name="xxxx" localSheetId="15" hidden="1">{"P&amp;L Annual",#N/A,FALSE,"P&amp;L";"Rev Annual",#N/A,FALSE,"DetRev";"Tech Annual",#N/A,FALSE,"DetTech";"CSR Annual",#N/A,FALSE,"DetCSR";"Marketing Annual",#N/A,FALSE,"DetMrkt";"Ad Sales Annual",#N/A,FALSE,"DetAdSales";"LO Annual",#N/A,FALSE,"DETLO";"Admin Annual",#N/A,FALSE,"DetAdmin";"Product Annual",#N/A,FALSE,"DetProd"}</definedName>
    <definedName name="xxxx" hidden="1">{"P&amp;L Annual",#N/A,FALSE,"P&amp;L";"Rev Annual",#N/A,FALSE,"DetRev";"Tech Annual",#N/A,FALSE,"DetTech";"CSR Annual",#N/A,FALSE,"DetCSR";"Marketing Annual",#N/A,FALSE,"DetMrkt";"Ad Sales Annual",#N/A,FALSE,"DetAdSales";"LO Annual",#N/A,FALSE,"DETLO";"Admin Annual",#N/A,FALSE,"DetAdmin";"Product Annual",#N/A,FALSE,"DetProd"}</definedName>
    <definedName name="YTDcomrange1">#REF!</definedName>
    <definedName name="YTDcomrange2">#REF!</definedName>
    <definedName name="Z_FB9FEF07_E23D_4093_B787_DA7C6E65880F_.wvu.PrintTitles" hidden="1">'[10]Inputs - Debt Roll'!$A$1:$F$65536,'[10]Inputs - Debt Roll'!$A$1:$IV$9</definedName>
    <definedName name="ｸﾞﾚｰ">'[11]ﾃﾞｰﾀ加工(MTD)'!$EY$4</definedName>
    <definedName name="ｸﾞﾚｰY">'[11]ﾃﾞｰﾀ加工(YTD)'!$EY$4</definedName>
    <definedName name="チケット別日別販売実績_DAT" localSheetId="15">#REF!</definedName>
    <definedName name="チケット別日別販売実績_DAT">#REF!</definedName>
    <definedName name="ベニューリスト" localSheetId="15">#REF!</definedName>
    <definedName name="ベニューリスト">#REF!</definedName>
    <definedName name="元DATA">'[3]03FY 2nd Hafl Latest Estimate'!$B$2:$J$1450</definedName>
    <definedName name="利益処分計算">'[3]03FY 2nd Hafl Latest Estimate'!#REF!</definedName>
    <definedName name="勘定科目">#REF!</definedName>
    <definedName name="印刷01">'[3]03FY 2nd Hafl Latest Estimate'!$B$4:$Z$399</definedName>
    <definedName name="印刷02">'[3]03FY 2nd Hafl Latest Estimate'!$B$400:$Z$474</definedName>
    <definedName name="反転">'[11]ﾃﾞｰﾀ加工(MTD)'!$FC$4</definedName>
    <definedName name="反転Y">'[11]ﾃﾞｰﾀ加工(YTD)'!$FC$4</definedName>
    <definedName name="基本項目_FLAG">[8]基礎ﾃﾞｰﾀ!#REF!</definedName>
    <definedName name="消税率" localSheetId="15">#REF!</definedName>
    <definedName name="消税率">#REF!</definedName>
  </definedNames>
  <calcPr calcId="191029" calcMode="manual" iterate="1"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10" l="1"/>
  <c r="N42" i="10"/>
  <c r="M42" i="10"/>
  <c r="L42" i="10"/>
  <c r="K42" i="10"/>
  <c r="J42" i="10"/>
  <c r="I42" i="10"/>
  <c r="H42" i="10"/>
  <c r="D1473" i="13" l="1"/>
  <c r="D1467" i="13"/>
  <c r="C1473" i="13"/>
  <c r="C1467" i="13"/>
  <c r="B1467" i="13"/>
  <c r="B1473" i="13" s="1"/>
  <c r="B1466" i="13"/>
  <c r="B1472" i="13" s="1"/>
  <c r="B1465" i="13"/>
  <c r="B1471" i="13" s="1"/>
  <c r="B1464" i="13"/>
  <c r="B1470" i="13" s="1"/>
  <c r="E1510" i="13" a="1"/>
  <c r="E1510" i="13" l="1"/>
  <c r="X347" i="3"/>
  <c r="X344" i="3"/>
  <c r="X345" i="3" s="1"/>
  <c r="W347" i="3"/>
  <c r="W344" i="3"/>
  <c r="W345" i="3" s="1"/>
  <c r="W342" i="3"/>
  <c r="X342" i="3"/>
  <c r="X352" i="3"/>
  <c r="W352" i="3"/>
  <c r="T352" i="3"/>
  <c r="S352" i="3"/>
  <c r="R352" i="3"/>
  <c r="P347" i="3"/>
  <c r="T347" i="3"/>
  <c r="S347" i="3"/>
  <c r="R347" i="3"/>
  <c r="U347" i="3"/>
  <c r="X349" i="3" l="1"/>
  <c r="X350" i="3" s="1"/>
  <c r="S349" i="3"/>
  <c r="W349" i="3"/>
  <c r="W350" i="3" s="1"/>
  <c r="T349" i="3"/>
  <c r="R349" i="3"/>
  <c r="T344" i="3"/>
  <c r="T345" i="3" s="1"/>
  <c r="S344" i="3"/>
  <c r="S345" i="3" s="1"/>
  <c r="R344" i="3"/>
  <c r="R345" i="3" s="1"/>
  <c r="P342" i="3"/>
  <c r="R342" i="3"/>
  <c r="S342" i="3"/>
  <c r="S350" i="3" s="1"/>
  <c r="T342" i="3"/>
  <c r="U342" i="3"/>
  <c r="T350" i="3" l="1"/>
  <c r="R350" i="3"/>
  <c r="F44" i="10"/>
  <c r="F45" i="10" s="1"/>
  <c r="F46" i="10" s="1"/>
  <c r="G44" i="10"/>
  <c r="G45" i="10" s="1"/>
  <c r="G46" i="10" s="1"/>
  <c r="H44" i="10"/>
  <c r="H45" i="10" s="1"/>
  <c r="H46" i="10" s="1"/>
  <c r="D1560" i="13"/>
  <c r="C1559" i="13" s="1"/>
  <c r="B1570" i="13"/>
  <c r="B1574" i="13" s="1"/>
  <c r="B1578" i="13" s="1"/>
  <c r="B1569" i="13"/>
  <c r="B1573" i="13" s="1"/>
  <c r="B1577" i="13" s="1"/>
  <c r="E1559" i="13"/>
  <c r="F1559" i="13" s="1"/>
  <c r="G1559" i="13" s="1"/>
  <c r="H1559" i="13" s="1"/>
  <c r="I1559" i="13" s="1"/>
  <c r="D1549" i="13"/>
  <c r="C1549" i="13"/>
  <c r="G71" i="10"/>
  <c r="F71" i="10"/>
  <c r="E71" i="10"/>
  <c r="G69" i="10"/>
  <c r="F69" i="10"/>
  <c r="E69" i="10"/>
  <c r="H71" i="10"/>
  <c r="H69" i="10"/>
  <c r="B1546" i="13"/>
  <c r="B1550" i="13" s="1"/>
  <c r="B1554" i="13" s="1"/>
  <c r="B1545" i="13"/>
  <c r="B1549" i="13" s="1"/>
  <c r="B1553" i="13" s="1"/>
  <c r="C1488" i="13"/>
  <c r="C1487" i="13" s="1"/>
  <c r="C1489" i="13" s="1"/>
  <c r="I107" i="2"/>
  <c r="B98" i="2"/>
  <c r="B97" i="2"/>
  <c r="B96" i="2"/>
  <c r="I113" i="2"/>
  <c r="G113" i="2"/>
  <c r="H111" i="2"/>
  <c r="H113" i="2" s="1"/>
  <c r="G107" i="2"/>
  <c r="H107" i="2"/>
  <c r="G106" i="2"/>
  <c r="H106" i="2"/>
  <c r="H101" i="2"/>
  <c r="G101" i="2"/>
  <c r="F101" i="2"/>
  <c r="B103" i="2"/>
  <c r="B108" i="2" s="1"/>
  <c r="B113" i="2" s="1"/>
  <c r="B102" i="2"/>
  <c r="B107" i="2" s="1"/>
  <c r="B112" i="2" s="1"/>
  <c r="B101" i="2"/>
  <c r="B106" i="2" s="1"/>
  <c r="B111" i="2" s="1"/>
  <c r="U147" i="3"/>
  <c r="U146" i="3"/>
  <c r="U141" i="3"/>
  <c r="U160" i="3" s="1"/>
  <c r="U132" i="3"/>
  <c r="H68" i="5"/>
  <c r="G68" i="5"/>
  <c r="O67" i="5"/>
  <c r="N67" i="5"/>
  <c r="M67" i="5"/>
  <c r="L67" i="5"/>
  <c r="K67" i="5"/>
  <c r="J67" i="5"/>
  <c r="I67" i="5"/>
  <c r="H67" i="5"/>
  <c r="G67" i="5"/>
  <c r="C63" i="5"/>
  <c r="R27" i="20" a="1"/>
  <c r="R29" i="20" a="1"/>
  <c r="R14" i="20"/>
  <c r="P45" i="20"/>
  <c r="R7" i="20"/>
  <c r="R31" i="20" a="1"/>
  <c r="R16" i="20"/>
  <c r="N45" i="20"/>
  <c r="R34" i="20" a="1"/>
  <c r="R15" i="20"/>
  <c r="Q45" i="20"/>
  <c r="R6" i="20"/>
  <c r="R45" i="20"/>
  <c r="O45" i="20"/>
  <c r="R41" i="20" a="1"/>
  <c r="R17" i="20" a="1"/>
  <c r="G108" i="2" l="1"/>
  <c r="I106" i="2"/>
  <c r="H108" i="2"/>
  <c r="U152" i="3"/>
  <c r="U161" i="3"/>
  <c r="U153" i="3"/>
  <c r="U134" i="3"/>
  <c r="R41" i="20"/>
  <c r="R34" i="20"/>
  <c r="R31" i="20"/>
  <c r="R27" i="20"/>
  <c r="R9" i="20"/>
  <c r="R20" i="20"/>
  <c r="R17" i="20"/>
  <c r="R18" i="20" s="1"/>
  <c r="R29" i="20"/>
  <c r="I108" i="2" l="1"/>
  <c r="J106" i="2"/>
  <c r="U162" i="3"/>
  <c r="U158" i="3"/>
  <c r="U157" i="3"/>
  <c r="R22" i="20"/>
  <c r="R23" i="20" s="1"/>
  <c r="R46" i="20"/>
  <c r="R30" i="20"/>
  <c r="K106" i="2" l="1"/>
  <c r="J108" i="2"/>
  <c r="R25" i="20"/>
  <c r="AE198" i="3"/>
  <c r="Y198" i="3"/>
  <c r="E188" i="10"/>
  <c r="H152" i="10"/>
  <c r="H151" i="10" s="1"/>
  <c r="B1530" i="13"/>
  <c r="C1523" i="13"/>
  <c r="B1523" i="13"/>
  <c r="B1529" i="13" s="1"/>
  <c r="B1522" i="13"/>
  <c r="B1528" i="13" s="1"/>
  <c r="B1521" i="13"/>
  <c r="B1527" i="13" s="1"/>
  <c r="B1512" i="13"/>
  <c r="B1506" i="13"/>
  <c r="B1517" i="13" s="1"/>
  <c r="B1505" i="13"/>
  <c r="B1516" i="13" s="1"/>
  <c r="B1504" i="13"/>
  <c r="B1515" i="13" s="1"/>
  <c r="C1502" i="13"/>
  <c r="C1534" i="13" s="1"/>
  <c r="C1558" i="13" s="1"/>
  <c r="C1480" i="13"/>
  <c r="B1478" i="13"/>
  <c r="B1477" i="13"/>
  <c r="B1476" i="13"/>
  <c r="D1457" i="13"/>
  <c r="E1457" i="13" s="1"/>
  <c r="F1457" i="13" s="1"/>
  <c r="G1457" i="13" s="1"/>
  <c r="H1457" i="13" s="1"/>
  <c r="I1457" i="13" s="1"/>
  <c r="J1457" i="13" s="1"/>
  <c r="K1457" i="13" s="1"/>
  <c r="K1480" i="13" s="1"/>
  <c r="L1451" i="13"/>
  <c r="K1451" i="13"/>
  <c r="J1451" i="13"/>
  <c r="I1451" i="13"/>
  <c r="H1451" i="13"/>
  <c r="G1451" i="13"/>
  <c r="F1451" i="13"/>
  <c r="E1451" i="13"/>
  <c r="D1451" i="13"/>
  <c r="C1451" i="13"/>
  <c r="L1446" i="13"/>
  <c r="K1446" i="13"/>
  <c r="J1446" i="13"/>
  <c r="I1446" i="13"/>
  <c r="H1446" i="13"/>
  <c r="G1446" i="13"/>
  <c r="F1446" i="13"/>
  <c r="E1446" i="13"/>
  <c r="D1446" i="13"/>
  <c r="C1446" i="13"/>
  <c r="L1439" i="13"/>
  <c r="K1439" i="13"/>
  <c r="J1439" i="13"/>
  <c r="I1439" i="13"/>
  <c r="H1439" i="13"/>
  <c r="G1439" i="13"/>
  <c r="F1439" i="13"/>
  <c r="E1439" i="13"/>
  <c r="D1439" i="13"/>
  <c r="C1439" i="13"/>
  <c r="AB46" i="23"/>
  <c r="AB45" i="23"/>
  <c r="AB44" i="23"/>
  <c r="AB43" i="23"/>
  <c r="AB42" i="23"/>
  <c r="AB41" i="23"/>
  <c r="AB40" i="23"/>
  <c r="AB39" i="23"/>
  <c r="W46" i="23"/>
  <c r="W45" i="23"/>
  <c r="W44" i="23"/>
  <c r="W43" i="23"/>
  <c r="W42" i="23"/>
  <c r="W41" i="23"/>
  <c r="W40" i="23"/>
  <c r="W39" i="23"/>
  <c r="G46" i="23"/>
  <c r="G45" i="23"/>
  <c r="G44" i="23"/>
  <c r="G43" i="23"/>
  <c r="G42" i="23"/>
  <c r="G41" i="23"/>
  <c r="G40" i="23"/>
  <c r="G39" i="23"/>
  <c r="G38" i="23"/>
  <c r="G37" i="23"/>
  <c r="G36" i="23"/>
  <c r="G35" i="23"/>
  <c r="G34" i="23"/>
  <c r="G33" i="23"/>
  <c r="G32" i="23"/>
  <c r="G31" i="23"/>
  <c r="G30" i="23"/>
  <c r="G29" i="23"/>
  <c r="G28" i="23"/>
  <c r="G27" i="23"/>
  <c r="G26" i="23"/>
  <c r="G25" i="23"/>
  <c r="G24" i="23"/>
  <c r="G23" i="23"/>
  <c r="G22" i="23"/>
  <c r="G21" i="23"/>
  <c r="G20" i="23"/>
  <c r="G19" i="23"/>
  <c r="G18" i="23"/>
  <c r="G17" i="23"/>
  <c r="G16" i="23"/>
  <c r="G15" i="23"/>
  <c r="G14" i="23"/>
  <c r="G13" i="23"/>
  <c r="G12" i="23"/>
  <c r="G11" i="23"/>
  <c r="G10" i="23"/>
  <c r="G9" i="23"/>
  <c r="G8" i="23"/>
  <c r="G7" i="23"/>
  <c r="G6" i="23"/>
  <c r="G5" i="23"/>
  <c r="G4" i="23"/>
  <c r="G3" i="23"/>
  <c r="K46" i="23"/>
  <c r="K45" i="23"/>
  <c r="K44" i="23"/>
  <c r="K43" i="23"/>
  <c r="K42" i="23"/>
  <c r="K41" i="23"/>
  <c r="K40" i="23"/>
  <c r="K39" i="23"/>
  <c r="K38" i="23"/>
  <c r="K37" i="23"/>
  <c r="K36" i="23"/>
  <c r="K35" i="23"/>
  <c r="K34" i="23"/>
  <c r="K33" i="23"/>
  <c r="K32" i="23"/>
  <c r="K31" i="23"/>
  <c r="K30" i="23"/>
  <c r="K29" i="23"/>
  <c r="K28" i="23"/>
  <c r="K27" i="23"/>
  <c r="K26" i="23"/>
  <c r="K25" i="23"/>
  <c r="K24" i="23"/>
  <c r="K23" i="23"/>
  <c r="K22" i="23"/>
  <c r="K21" i="23"/>
  <c r="K20" i="23"/>
  <c r="K19" i="23"/>
  <c r="K18" i="23"/>
  <c r="K17" i="23"/>
  <c r="K16" i="23"/>
  <c r="K15" i="23"/>
  <c r="K14" i="23"/>
  <c r="K13" i="23"/>
  <c r="K12" i="23"/>
  <c r="K11" i="23"/>
  <c r="K10" i="23"/>
  <c r="K9" i="23"/>
  <c r="K8" i="23"/>
  <c r="K7" i="23"/>
  <c r="K6" i="23"/>
  <c r="K5" i="23"/>
  <c r="K4" i="23"/>
  <c r="K3" i="23"/>
  <c r="J19" i="15"/>
  <c r="N37" i="19"/>
  <c r="M37" i="19"/>
  <c r="M12" i="19"/>
  <c r="R32" i="19" a="1"/>
  <c r="G1505" i="13" a="1"/>
  <c r="R13" i="19" a="1"/>
  <c r="F1504" i="13" a="1"/>
  <c r="E1505" i="13" a="1"/>
  <c r="I1504" i="13" a="1"/>
  <c r="E1504" i="13" a="1"/>
  <c r="R28" i="19" a="1"/>
  <c r="F1507" i="13" a="1"/>
  <c r="E1507" i="13" a="1"/>
  <c r="N34" i="20" a="1"/>
  <c r="R31" i="19" a="1"/>
  <c r="H1504" i="13" a="1"/>
  <c r="H1509" i="13" a="1"/>
  <c r="F1505" i="13" a="1"/>
  <c r="I1507" i="13" a="1"/>
  <c r="G1508" i="13" a="1"/>
  <c r="E1512" i="13" a="1"/>
  <c r="R22" i="19" a="1"/>
  <c r="Q12" i="19" a="1"/>
  <c r="C1510" i="13" a="1"/>
  <c r="Q22" i="19" a="1"/>
  <c r="R12" i="19" a="1"/>
  <c r="Q6" i="19" a="1"/>
  <c r="Q28" i="19" a="1"/>
  <c r="F1508" i="13" a="1"/>
  <c r="F1512" i="13" a="1"/>
  <c r="I1512" i="13" a="1"/>
  <c r="H1507" i="13" a="1"/>
  <c r="Q32" i="19" a="1"/>
  <c r="R17" i="19" a="1"/>
  <c r="E1509" i="13" a="1"/>
  <c r="D1510" i="13" a="1"/>
  <c r="G1504" i="13" a="1"/>
  <c r="H1505" i="13" a="1"/>
  <c r="Q31" i="19" a="1"/>
  <c r="I1509" i="13" a="1"/>
  <c r="R9" i="19" a="1"/>
  <c r="Q13" i="19" a="1"/>
  <c r="F1510" i="13" a="1"/>
  <c r="R29" i="19" a="1"/>
  <c r="R19" i="19" a="1"/>
  <c r="H1512" i="13" a="1"/>
  <c r="G1512" i="13" a="1"/>
  <c r="Q17" i="19" a="1"/>
  <c r="G1510" i="13" a="1"/>
  <c r="Q29" i="19" a="1"/>
  <c r="H1508" i="13" a="1"/>
  <c r="Q9" i="19" a="1"/>
  <c r="Q7" i="19" a="1"/>
  <c r="H1510" i="13" a="1"/>
  <c r="Q19" i="19" a="1"/>
  <c r="I1510" i="13" a="1"/>
  <c r="G1507" i="13" a="1"/>
  <c r="R6" i="19" a="1"/>
  <c r="R7" i="19" a="1"/>
  <c r="E1508" i="13" a="1"/>
  <c r="F1509" i="13" a="1"/>
  <c r="I1505" i="13" a="1"/>
  <c r="G1509" i="13" a="1"/>
  <c r="I1508" i="13" a="1"/>
  <c r="L106" i="2" l="1"/>
  <c r="K108" i="2"/>
  <c r="R22" i="19"/>
  <c r="Q22" i="19"/>
  <c r="N34" i="20"/>
  <c r="C1510" i="13"/>
  <c r="D1510" i="13"/>
  <c r="E1509" i="13"/>
  <c r="E1507" i="13"/>
  <c r="E1508" i="13"/>
  <c r="E1504" i="13"/>
  <c r="E1505" i="13"/>
  <c r="I1509" i="13"/>
  <c r="I1510" i="13"/>
  <c r="G1510" i="13"/>
  <c r="I1508" i="13"/>
  <c r="H1508" i="13"/>
  <c r="H1509" i="13"/>
  <c r="G1508" i="13"/>
  <c r="F1510" i="13"/>
  <c r="G1509" i="13"/>
  <c r="H1510" i="13"/>
  <c r="F1509" i="13"/>
  <c r="F1508" i="13"/>
  <c r="I1507" i="13"/>
  <c r="H1507" i="13"/>
  <c r="G1507" i="13"/>
  <c r="F1507" i="13"/>
  <c r="I1512" i="13"/>
  <c r="I1504" i="13"/>
  <c r="F1504" i="13"/>
  <c r="G1504" i="13"/>
  <c r="H1504" i="13"/>
  <c r="F1505" i="13"/>
  <c r="G1505" i="13"/>
  <c r="H1505" i="13"/>
  <c r="L1447" i="13"/>
  <c r="I1505" i="13"/>
  <c r="O45" i="23"/>
  <c r="L1440" i="13" s="1"/>
  <c r="L1441" i="13" s="1"/>
  <c r="H1512" i="13"/>
  <c r="O43" i="23"/>
  <c r="O44" i="23"/>
  <c r="G1512" i="13"/>
  <c r="F1512" i="13"/>
  <c r="O38" i="23"/>
  <c r="E1512" i="13"/>
  <c r="O46" i="23"/>
  <c r="I1480" i="13"/>
  <c r="D1502" i="13"/>
  <c r="D1534" i="13" s="1"/>
  <c r="D1558" i="13" s="1"/>
  <c r="J1480" i="13"/>
  <c r="G1480" i="13"/>
  <c r="H1480" i="13"/>
  <c r="E1502" i="13"/>
  <c r="E1534" i="13" s="1"/>
  <c r="E1558" i="13" s="1"/>
  <c r="F1502" i="13"/>
  <c r="F1534" i="13" s="1"/>
  <c r="F1558" i="13" s="1"/>
  <c r="D1480" i="13"/>
  <c r="G1502" i="13"/>
  <c r="G1534" i="13" s="1"/>
  <c r="G1558" i="13" s="1"/>
  <c r="E1480" i="13"/>
  <c r="H1502" i="13"/>
  <c r="H1534" i="13" s="1"/>
  <c r="H1558" i="13" s="1"/>
  <c r="F1480" i="13"/>
  <c r="I1502" i="13"/>
  <c r="I1534" i="13" s="1"/>
  <c r="I1558" i="13" s="1"/>
  <c r="J1452" i="13"/>
  <c r="D1537" i="13" s="1"/>
  <c r="I1452" i="13"/>
  <c r="J1447" i="13"/>
  <c r="D1481" i="13" s="1"/>
  <c r="E1481" i="13" s="1"/>
  <c r="K1447" i="13"/>
  <c r="F1452" i="13"/>
  <c r="C1537" i="13" s="1"/>
  <c r="I1447" i="13"/>
  <c r="G1452" i="13"/>
  <c r="C1452" i="13"/>
  <c r="K1452" i="13"/>
  <c r="H1452" i="13"/>
  <c r="D1452" i="13"/>
  <c r="L1452" i="13"/>
  <c r="E1452" i="13"/>
  <c r="G1447" i="13"/>
  <c r="F1447" i="13"/>
  <c r="H1447" i="13"/>
  <c r="D1447" i="13"/>
  <c r="C1447" i="13"/>
  <c r="E1447" i="13"/>
  <c r="O42" i="23"/>
  <c r="K1440" i="13" s="1"/>
  <c r="K1441" i="13" s="1"/>
  <c r="O40" i="23"/>
  <c r="O41" i="23"/>
  <c r="O39" i="23"/>
  <c r="J1440" i="13" s="1"/>
  <c r="R28" i="19"/>
  <c r="R13" i="19"/>
  <c r="R29" i="19"/>
  <c r="R6" i="19"/>
  <c r="R31" i="19"/>
  <c r="R34" i="19" s="1"/>
  <c r="R12" i="19"/>
  <c r="R7" i="19"/>
  <c r="R17" i="19"/>
  <c r="R9" i="19"/>
  <c r="R19" i="19"/>
  <c r="R32" i="19"/>
  <c r="Q28" i="19"/>
  <c r="Q32" i="19"/>
  <c r="Q12" i="19"/>
  <c r="Q19" i="19"/>
  <c r="Q6" i="19"/>
  <c r="Q13" i="19"/>
  <c r="Q29" i="19"/>
  <c r="Q9" i="19"/>
  <c r="Q7" i="19"/>
  <c r="Q17" i="19"/>
  <c r="Q31" i="19"/>
  <c r="Q34" i="19" s="1"/>
  <c r="D1538" i="13" l="1"/>
  <c r="E1537" i="13"/>
  <c r="F1537" i="13" s="1"/>
  <c r="G1537" i="13" s="1"/>
  <c r="H1537" i="13" s="1"/>
  <c r="I1537" i="13" s="1"/>
  <c r="J1441" i="13"/>
  <c r="D1535" i="13" s="1"/>
  <c r="L108" i="2"/>
  <c r="E1506" i="13"/>
  <c r="I1506" i="13"/>
  <c r="G1506" i="13"/>
  <c r="H1506" i="13"/>
  <c r="F1506" i="13"/>
  <c r="R26" i="19"/>
  <c r="F1481" i="13"/>
  <c r="C1481" i="13"/>
  <c r="R35" i="19"/>
  <c r="R25" i="19"/>
  <c r="D1546" i="13" l="1"/>
  <c r="D1570" i="13"/>
  <c r="E1535" i="13"/>
  <c r="E1570" i="13" s="1"/>
  <c r="G1481" i="13"/>
  <c r="X210" i="3"/>
  <c r="Y210" i="3" s="1"/>
  <c r="X209" i="3"/>
  <c r="AU2" i="3"/>
  <c r="AT2" i="3"/>
  <c r="AS2" i="3"/>
  <c r="AR2" i="3"/>
  <c r="AS7" i="3"/>
  <c r="AR7" i="3"/>
  <c r="J117" i="8"/>
  <c r="K117" i="8" s="1"/>
  <c r="L117" i="8" s="1"/>
  <c r="K113" i="8"/>
  <c r="L113" i="8" s="1"/>
  <c r="M113" i="8" s="1"/>
  <c r="N113" i="8" s="1"/>
  <c r="C31" i="20"/>
  <c r="H1353" i="13"/>
  <c r="G1353" i="13"/>
  <c r="F1353" i="13"/>
  <c r="E1353" i="13"/>
  <c r="D1353" i="13"/>
  <c r="I1353" i="13"/>
  <c r="H281" i="3"/>
  <c r="I281" i="3"/>
  <c r="J281" i="3"/>
  <c r="K281" i="3"/>
  <c r="M281" i="3"/>
  <c r="N281" i="3"/>
  <c r="O281" i="3"/>
  <c r="P281" i="3"/>
  <c r="R281" i="3"/>
  <c r="S281" i="3"/>
  <c r="T281" i="3"/>
  <c r="U281" i="3"/>
  <c r="B282" i="3"/>
  <c r="B281" i="3"/>
  <c r="B280" i="3"/>
  <c r="B279" i="3"/>
  <c r="I38" i="2"/>
  <c r="J38" i="2" s="1"/>
  <c r="K38" i="2" s="1"/>
  <c r="Y224" i="3"/>
  <c r="X29" i="3"/>
  <c r="W230" i="3"/>
  <c r="X240" i="3"/>
  <c r="X239" i="3"/>
  <c r="Y442" i="3"/>
  <c r="Y427" i="3"/>
  <c r="Y426" i="3"/>
  <c r="Y420" i="3"/>
  <c r="Y423" i="3" s="1"/>
  <c r="Y269" i="3"/>
  <c r="Z73" i="3"/>
  <c r="F44" i="2"/>
  <c r="G44" i="2"/>
  <c r="G45" i="2" s="1"/>
  <c r="H44" i="2"/>
  <c r="H45" i="2" s="1"/>
  <c r="I42" i="2"/>
  <c r="J42" i="2" s="1"/>
  <c r="K42" i="2" s="1"/>
  <c r="L42" i="2" s="1"/>
  <c r="M42" i="2" s="1"/>
  <c r="N42" i="2" s="1"/>
  <c r="O42" i="2" s="1"/>
  <c r="G43" i="2"/>
  <c r="H43" i="2"/>
  <c r="L1417" i="13"/>
  <c r="L1438" i="13" s="1"/>
  <c r="L1450" i="13" s="1"/>
  <c r="K1417" i="13"/>
  <c r="K1438" i="13" s="1"/>
  <c r="K1450" i="13" s="1"/>
  <c r="J1417" i="13"/>
  <c r="J1438" i="13" s="1"/>
  <c r="J1450" i="13" s="1"/>
  <c r="I1417" i="13"/>
  <c r="I1438" i="13" s="1"/>
  <c r="I1450" i="13" s="1"/>
  <c r="H1417" i="13"/>
  <c r="H1438" i="13" s="1"/>
  <c r="H1450" i="13" s="1"/>
  <c r="G1417" i="13"/>
  <c r="G1438" i="13" s="1"/>
  <c r="G1450" i="13" s="1"/>
  <c r="F1417" i="13"/>
  <c r="F1438" i="13" s="1"/>
  <c r="F1450" i="13" s="1"/>
  <c r="E1417" i="13"/>
  <c r="E1438" i="13" s="1"/>
  <c r="E1450" i="13" s="1"/>
  <c r="D1417" i="13"/>
  <c r="D1438" i="13" s="1"/>
  <c r="D1450" i="13" s="1"/>
  <c r="C1417" i="13"/>
  <c r="C1438" i="13" s="1"/>
  <c r="C1450" i="13" s="1"/>
  <c r="I1376" i="13"/>
  <c r="H1376" i="13"/>
  <c r="J1376" i="13"/>
  <c r="G1376" i="13"/>
  <c r="F1376" i="13"/>
  <c r="E1376" i="13"/>
  <c r="L1379" i="13"/>
  <c r="K1379" i="13"/>
  <c r="J1379" i="13"/>
  <c r="I1379" i="13"/>
  <c r="H1379" i="13"/>
  <c r="G1379" i="13"/>
  <c r="F1379" i="13"/>
  <c r="E1379" i="13"/>
  <c r="D1379" i="13"/>
  <c r="P101" i="19"/>
  <c r="P98" i="19"/>
  <c r="P90" i="19"/>
  <c r="L1381" i="13" s="1"/>
  <c r="P89" i="19"/>
  <c r="L1380" i="13" s="1"/>
  <c r="P86" i="19"/>
  <c r="P83" i="19"/>
  <c r="P81" i="19"/>
  <c r="AH370" i="19"/>
  <c r="AH369" i="19"/>
  <c r="AH365" i="19"/>
  <c r="AH364" i="19"/>
  <c r="AE365" i="19"/>
  <c r="AE364" i="19"/>
  <c r="O7" i="20"/>
  <c r="Q29" i="20" a="1"/>
  <c r="N15" i="20"/>
  <c r="O15" i="20"/>
  <c r="N16" i="20"/>
  <c r="O34" i="20" a="1"/>
  <c r="O41" i="20" a="1"/>
  <c r="O14" i="20"/>
  <c r="Q14" i="20"/>
  <c r="P17" i="20" a="1"/>
  <c r="N17" i="20" a="1"/>
  <c r="P29" i="20" a="1"/>
  <c r="O29" i="20" a="1"/>
  <c r="Q17" i="20" a="1"/>
  <c r="P16" i="20"/>
  <c r="P27" i="20" a="1"/>
  <c r="N27" i="20" a="1"/>
  <c r="Q16" i="20"/>
  <c r="P7" i="20"/>
  <c r="P6" i="20"/>
  <c r="O17" i="20" a="1"/>
  <c r="Q7" i="20"/>
  <c r="N6" i="20"/>
  <c r="P31" i="20" a="1"/>
  <c r="N7" i="20"/>
  <c r="P34" i="20" a="1"/>
  <c r="Q6" i="20"/>
  <c r="P41" i="20" a="1"/>
  <c r="Q41" i="20" a="1"/>
  <c r="N31" i="20" a="1"/>
  <c r="O27" i="20" a="1"/>
  <c r="P14" i="20"/>
  <c r="N29" i="20" a="1"/>
  <c r="Q27" i="20" a="1"/>
  <c r="N14" i="20"/>
  <c r="Q15" i="20"/>
  <c r="P15" i="20"/>
  <c r="N41" i="20" a="1"/>
  <c r="O31" i="20" a="1"/>
  <c r="O6" i="20"/>
  <c r="Q34" i="20" a="1"/>
  <c r="O16" i="20"/>
  <c r="Q31" i="20" a="1"/>
  <c r="E1546" i="13" l="1"/>
  <c r="F1535" i="13"/>
  <c r="F1570" i="13" s="1"/>
  <c r="Y208" i="3"/>
  <c r="Y209" i="3" s="1"/>
  <c r="Z210" i="3"/>
  <c r="H1481" i="13"/>
  <c r="E1355" i="13"/>
  <c r="D1355" i="13"/>
  <c r="D1356" i="13" s="1"/>
  <c r="F1355" i="13"/>
  <c r="Y26" i="3"/>
  <c r="M28" i="19"/>
  <c r="Q29" i="20"/>
  <c r="Q34" i="20"/>
  <c r="Q31" i="20"/>
  <c r="Q27" i="20"/>
  <c r="Q9" i="20"/>
  <c r="Q20" i="20"/>
  <c r="Q41" i="20"/>
  <c r="R12" i="20" s="1"/>
  <c r="Q17" i="20"/>
  <c r="Q18" i="20" s="1"/>
  <c r="N29" i="20"/>
  <c r="N46" i="20" s="1"/>
  <c r="O29" i="20"/>
  <c r="P29" i="20"/>
  <c r="N31" i="20"/>
  <c r="O31" i="20"/>
  <c r="P31" i="20"/>
  <c r="O27" i="20"/>
  <c r="N27" i="20"/>
  <c r="P27" i="20"/>
  <c r="N41" i="20"/>
  <c r="O41" i="20"/>
  <c r="P41" i="20"/>
  <c r="P34" i="20"/>
  <c r="O34" i="20"/>
  <c r="P17" i="20"/>
  <c r="P18" i="20" s="1"/>
  <c r="N17" i="20"/>
  <c r="N18" i="20" s="1"/>
  <c r="O17" i="20"/>
  <c r="O18" i="20" s="1"/>
  <c r="Y421" i="3"/>
  <c r="AE366" i="19"/>
  <c r="AH371" i="19"/>
  <c r="AH366" i="19"/>
  <c r="G1535" i="13" l="1"/>
  <c r="G1570" i="13" s="1"/>
  <c r="F1546" i="13"/>
  <c r="P46" i="20"/>
  <c r="P47" i="20"/>
  <c r="O46" i="20"/>
  <c r="O47" i="20"/>
  <c r="Q46" i="20"/>
  <c r="Q47" i="20"/>
  <c r="I1481" i="13"/>
  <c r="G1355" i="13"/>
  <c r="F1356" i="13"/>
  <c r="E1356" i="13"/>
  <c r="Q22" i="20"/>
  <c r="Q23" i="20" s="1"/>
  <c r="Q30" i="20"/>
  <c r="Q12" i="20"/>
  <c r="AB365" i="19"/>
  <c r="AB364" i="19"/>
  <c r="AE370" i="19"/>
  <c r="AE369" i="19"/>
  <c r="AB370" i="19"/>
  <c r="AB369" i="19"/>
  <c r="AI337" i="19"/>
  <c r="AI346" i="19"/>
  <c r="AH368" i="19"/>
  <c r="AH363" i="19"/>
  <c r="AH373" i="19" s="1"/>
  <c r="I1361" i="13" s="1"/>
  <c r="I1374" i="13" s="1"/>
  <c r="AH361" i="19"/>
  <c r="AH355" i="19"/>
  <c r="AH354" i="19"/>
  <c r="AH353" i="19"/>
  <c r="AJ345" i="19"/>
  <c r="AJ344" i="19"/>
  <c r="AJ336" i="19"/>
  <c r="AJ335" i="19"/>
  <c r="I447" i="19"/>
  <c r="J447" i="19"/>
  <c r="Q447" i="19"/>
  <c r="P447" i="19"/>
  <c r="O447" i="19"/>
  <c r="N447" i="19"/>
  <c r="M447" i="19"/>
  <c r="L447" i="19"/>
  <c r="K447" i="19"/>
  <c r="R447" i="19"/>
  <c r="W382" i="3"/>
  <c r="W381" i="3"/>
  <c r="W379" i="3"/>
  <c r="W378" i="3"/>
  <c r="W380" i="3"/>
  <c r="G1546" i="13" l="1"/>
  <c r="H1535" i="13"/>
  <c r="H1570" i="13" s="1"/>
  <c r="I1535" i="13"/>
  <c r="J1481" i="13"/>
  <c r="H1355" i="13"/>
  <c r="G1356" i="13"/>
  <c r="Q25" i="20"/>
  <c r="AB366" i="19"/>
  <c r="AI351" i="19"/>
  <c r="AH356" i="19"/>
  <c r="AH378" i="19"/>
  <c r="AE371" i="19"/>
  <c r="AE374" i="19"/>
  <c r="AH374" i="19"/>
  <c r="AE375" i="19"/>
  <c r="AH375" i="19"/>
  <c r="AB371" i="19"/>
  <c r="AJ334" i="19"/>
  <c r="AJ343" i="19"/>
  <c r="AS31" i="19"/>
  <c r="AV31" i="19" s="1"/>
  <c r="AR31" i="19"/>
  <c r="AU31" i="19" s="1"/>
  <c r="AS30" i="19"/>
  <c r="AV30" i="19" s="1"/>
  <c r="AR30" i="19"/>
  <c r="AU30" i="19" s="1"/>
  <c r="AS29" i="19"/>
  <c r="AV29" i="19" s="1"/>
  <c r="AR29" i="19"/>
  <c r="AU29" i="19" s="1"/>
  <c r="X222" i="3"/>
  <c r="W222" i="3"/>
  <c r="H1347" i="13"/>
  <c r="H1348" i="13" s="1"/>
  <c r="I1347" i="13"/>
  <c r="I1348" i="13" s="1"/>
  <c r="E1342" i="13"/>
  <c r="F1342" i="13"/>
  <c r="G1342" i="13"/>
  <c r="H1342" i="13"/>
  <c r="I1342" i="13"/>
  <c r="I1344" i="13"/>
  <c r="U2" i="19"/>
  <c r="L32" i="19"/>
  <c r="L28" i="19"/>
  <c r="L22" i="19"/>
  <c r="L13" i="19"/>
  <c r="L12" i="19"/>
  <c r="L9" i="19"/>
  <c r="L7" i="19"/>
  <c r="L6" i="19"/>
  <c r="X372" i="3"/>
  <c r="X370" i="3"/>
  <c r="X373" i="3" s="1"/>
  <c r="X365" i="3"/>
  <c r="X366" i="3" s="1"/>
  <c r="X287" i="3"/>
  <c r="X268" i="3"/>
  <c r="X267" i="3"/>
  <c r="X253" i="3"/>
  <c r="X246" i="3"/>
  <c r="AH346" i="19" s="1"/>
  <c r="AI348" i="19" s="1"/>
  <c r="X245" i="3"/>
  <c r="X230" i="3"/>
  <c r="X225" i="3"/>
  <c r="X236" i="3"/>
  <c r="I1358" i="13" s="1"/>
  <c r="I1359" i="13" s="1"/>
  <c r="X111" i="3"/>
  <c r="X96" i="3"/>
  <c r="X83" i="3"/>
  <c r="X74" i="3"/>
  <c r="X63" i="3"/>
  <c r="L10" i="19" s="1"/>
  <c r="X55" i="3"/>
  <c r="X54" i="3"/>
  <c r="X48" i="3"/>
  <c r="X45" i="3"/>
  <c r="X30" i="3"/>
  <c r="X32" i="3" s="1"/>
  <c r="X31" i="3"/>
  <c r="X27" i="3"/>
  <c r="X19" i="3"/>
  <c r="X11" i="3"/>
  <c r="X16" i="3"/>
  <c r="X6" i="3"/>
  <c r="H1546" i="13" l="1"/>
  <c r="I1546" i="13"/>
  <c r="I1570" i="13"/>
  <c r="K1481" i="13"/>
  <c r="I1356" i="13"/>
  <c r="H1356" i="13"/>
  <c r="X33" i="3"/>
  <c r="Y287" i="3"/>
  <c r="Y281" i="3" s="1"/>
  <c r="X281" i="3"/>
  <c r="X218" i="3"/>
  <c r="X227" i="3" s="1"/>
  <c r="P91" i="19"/>
  <c r="AI347" i="19"/>
  <c r="AI349" i="19" s="1"/>
  <c r="X285" i="3"/>
  <c r="X279" i="3" s="1"/>
  <c r="AH337" i="19"/>
  <c r="AJ346" i="19"/>
  <c r="AH376" i="19"/>
  <c r="I1362" i="13" s="1"/>
  <c r="AE376" i="19"/>
  <c r="X39" i="3"/>
  <c r="R466" i="19" s="1"/>
  <c r="I1349" i="13"/>
  <c r="AV32" i="19"/>
  <c r="AU32" i="19"/>
  <c r="X69" i="3"/>
  <c r="X105" i="3"/>
  <c r="X72" i="3"/>
  <c r="X75" i="3"/>
  <c r="L4" i="19"/>
  <c r="L23" i="19" s="1"/>
  <c r="X59" i="3"/>
  <c r="L14" i="19" s="1"/>
  <c r="X78" i="3"/>
  <c r="X53" i="3"/>
  <c r="X56" i="3" s="1"/>
  <c r="X84" i="3"/>
  <c r="X258" i="3"/>
  <c r="X81" i="3"/>
  <c r="X259" i="3"/>
  <c r="X286" i="3"/>
  <c r="X280" i="3" s="1"/>
  <c r="X88" i="3"/>
  <c r="L16" i="19"/>
  <c r="L18" i="19"/>
  <c r="P22" i="19"/>
  <c r="X270" i="3"/>
  <c r="X355" i="3"/>
  <c r="X375" i="3"/>
  <c r="X248" i="3"/>
  <c r="L31" i="19" l="1"/>
  <c r="L33" i="19" s="1"/>
  <c r="AI339" i="19"/>
  <c r="AI338" i="19"/>
  <c r="AJ337" i="19"/>
  <c r="X393" i="3"/>
  <c r="R452" i="19" s="1"/>
  <c r="X394" i="3"/>
  <c r="R459" i="19" s="1"/>
  <c r="R18" i="19"/>
  <c r="R21" i="19"/>
  <c r="Q30" i="19"/>
  <c r="R33" i="19"/>
  <c r="Q33" i="19"/>
  <c r="Q21" i="19"/>
  <c r="Q18" i="19"/>
  <c r="R10" i="19"/>
  <c r="R4" i="19"/>
  <c r="R20" i="19" s="1"/>
  <c r="Q4" i="19"/>
  <c r="Q10" i="19"/>
  <c r="R30" i="19"/>
  <c r="X60" i="3"/>
  <c r="X90" i="3"/>
  <c r="X97" i="3" s="1"/>
  <c r="L17" i="19"/>
  <c r="L15" i="19"/>
  <c r="X288" i="3"/>
  <c r="X282" i="3" s="1"/>
  <c r="L29" i="19"/>
  <c r="Q25" i="19" s="1"/>
  <c r="L34" i="19"/>
  <c r="Q35" i="19" s="1"/>
  <c r="X254" i="3"/>
  <c r="L30" i="19" l="1"/>
  <c r="AI340" i="19"/>
  <c r="X99" i="3"/>
  <c r="X93" i="3"/>
  <c r="X261" i="3"/>
  <c r="R448" i="19"/>
  <c r="Q23" i="19"/>
  <c r="Q14" i="19"/>
  <c r="R14" i="19"/>
  <c r="R23" i="19"/>
  <c r="Q20" i="19"/>
  <c r="X100" i="3" l="1"/>
  <c r="L20" i="19" s="1"/>
  <c r="X101" i="3"/>
  <c r="X110" i="3"/>
  <c r="L19" i="19"/>
  <c r="L21" i="19" s="1"/>
  <c r="R460" i="19"/>
  <c r="R454" i="19"/>
  <c r="R15" i="19"/>
  <c r="R16" i="19"/>
  <c r="Q15" i="19"/>
  <c r="Q16" i="19"/>
  <c r="P31" i="19"/>
  <c r="P32" i="19"/>
  <c r="P17" i="19"/>
  <c r="P13" i="19"/>
  <c r="P12" i="19"/>
  <c r="P9" i="19"/>
  <c r="P6" i="19"/>
  <c r="P7" i="19"/>
  <c r="W210" i="3"/>
  <c r="W209" i="3"/>
  <c r="W199" i="3"/>
  <c r="O101" i="19"/>
  <c r="O98" i="19"/>
  <c r="O90" i="19"/>
  <c r="K1381" i="13" s="1"/>
  <c r="O89" i="19"/>
  <c r="K1380" i="13" s="1"/>
  <c r="O86" i="19"/>
  <c r="O83" i="19"/>
  <c r="P84" i="19" s="1"/>
  <c r="O81" i="19"/>
  <c r="P82" i="19" s="1"/>
  <c r="N101" i="19"/>
  <c r="N98" i="19"/>
  <c r="N90" i="19"/>
  <c r="J1381" i="13" s="1"/>
  <c r="N89" i="19"/>
  <c r="J1380" i="13" s="1"/>
  <c r="N86" i="19"/>
  <c r="N83" i="19"/>
  <c r="N81" i="19"/>
  <c r="I73" i="8"/>
  <c r="AA263" i="3"/>
  <c r="S2" i="19"/>
  <c r="T2" i="19"/>
  <c r="P37" i="19"/>
  <c r="P28" i="19" l="1"/>
  <c r="P21" i="19"/>
  <c r="P19" i="19"/>
  <c r="P18" i="19"/>
  <c r="O82" i="19"/>
  <c r="O84" i="19"/>
  <c r="P34" i="19" l="1"/>
  <c r="H1337" i="13" l="1"/>
  <c r="G1344" i="13"/>
  <c r="H1344" i="13"/>
  <c r="L945" i="16"/>
  <c r="L947" i="16"/>
  <c r="L950" i="16" s="1"/>
  <c r="AA50" i="3"/>
  <c r="AF346" i="19" l="1"/>
  <c r="AF343" i="19" s="1"/>
  <c r="AC346" i="19"/>
  <c r="AC343" i="19" s="1"/>
  <c r="AF337" i="19"/>
  <c r="AC337" i="19"/>
  <c r="AE368" i="19"/>
  <c r="AE363" i="19"/>
  <c r="AE373" i="19" s="1"/>
  <c r="H1361" i="13" s="1"/>
  <c r="H1374" i="13" s="1"/>
  <c r="AE361" i="19"/>
  <c r="AE355" i="19"/>
  <c r="AE354" i="19"/>
  <c r="AE353" i="19"/>
  <c r="AG345" i="19"/>
  <c r="AG344" i="19"/>
  <c r="AG336" i="19"/>
  <c r="AG335" i="19"/>
  <c r="AB368" i="19"/>
  <c r="AB363" i="19"/>
  <c r="AB378" i="19" s="1"/>
  <c r="AB361" i="19"/>
  <c r="AB355" i="19"/>
  <c r="AB354" i="19"/>
  <c r="AB353" i="19"/>
  <c r="AD345" i="19"/>
  <c r="AD344" i="19"/>
  <c r="AD336" i="19"/>
  <c r="AD335" i="19"/>
  <c r="U111" i="3"/>
  <c r="T111" i="3"/>
  <c r="S111" i="3"/>
  <c r="AB356" i="19" l="1"/>
  <c r="AE356" i="19"/>
  <c r="AC351" i="19"/>
  <c r="AC334" i="19"/>
  <c r="AF334" i="19"/>
  <c r="AF351" i="19"/>
  <c r="AE378" i="19"/>
  <c r="AB373" i="19"/>
  <c r="G1361" i="13" s="1"/>
  <c r="G1374" i="13" s="1"/>
  <c r="U453" i="3"/>
  <c r="U454" i="3" s="1"/>
  <c r="T453" i="3"/>
  <c r="T454" i="3" s="1"/>
  <c r="S453" i="3"/>
  <c r="R453" i="3"/>
  <c r="U442" i="3"/>
  <c r="T442" i="3"/>
  <c r="S442" i="3"/>
  <c r="R442" i="3"/>
  <c r="U441" i="3"/>
  <c r="T441" i="3"/>
  <c r="S441" i="3"/>
  <c r="R441" i="3"/>
  <c r="U432" i="3"/>
  <c r="T432" i="3"/>
  <c r="S432" i="3"/>
  <c r="R432" i="3"/>
  <c r="W432" i="3"/>
  <c r="W433" i="3"/>
  <c r="W19" i="3"/>
  <c r="W268" i="3"/>
  <c r="X274" i="3" s="1"/>
  <c r="W267" i="3"/>
  <c r="X273" i="3" s="1"/>
  <c r="W240" i="3"/>
  <c r="W239" i="3"/>
  <c r="W45" i="3"/>
  <c r="W27" i="3"/>
  <c r="W16" i="3"/>
  <c r="W11" i="3"/>
  <c r="T336" i="3"/>
  <c r="S336" i="3"/>
  <c r="U214" i="3"/>
  <c r="U213" i="3"/>
  <c r="U199" i="3"/>
  <c r="U210" i="3"/>
  <c r="U209" i="3"/>
  <c r="V208" i="3"/>
  <c r="T337" i="3"/>
  <c r="S337" i="3"/>
  <c r="R337" i="3"/>
  <c r="Q208" i="3"/>
  <c r="Q332" i="3"/>
  <c r="V332" i="3"/>
  <c r="R336" i="3" l="1"/>
  <c r="P332" i="3"/>
  <c r="P344" i="3" s="1"/>
  <c r="P345" i="3" s="1"/>
  <c r="W46" i="3"/>
  <c r="X277" i="3"/>
  <c r="U332" i="3"/>
  <c r="Q337" i="3"/>
  <c r="V337" i="3"/>
  <c r="P33" i="19"/>
  <c r="P4" i="19"/>
  <c r="K37" i="19"/>
  <c r="J33" i="19"/>
  <c r="J32" i="19"/>
  <c r="J31" i="19"/>
  <c r="J28" i="19"/>
  <c r="J22" i="19"/>
  <c r="J14" i="19"/>
  <c r="J13" i="19"/>
  <c r="J12" i="19"/>
  <c r="J7" i="19"/>
  <c r="J6" i="19"/>
  <c r="J4" i="19"/>
  <c r="K12" i="19"/>
  <c r="F136" i="8"/>
  <c r="G136" i="8"/>
  <c r="G78" i="8"/>
  <c r="G46" i="8"/>
  <c r="H42" i="8"/>
  <c r="I42" i="8" s="1"/>
  <c r="H14" i="21"/>
  <c r="H11" i="21"/>
  <c r="H28" i="21" s="1"/>
  <c r="H7" i="21"/>
  <c r="H24" i="21" s="1"/>
  <c r="H3" i="21"/>
  <c r="H20" i="21" s="1"/>
  <c r="H33" i="10"/>
  <c r="V361" i="3"/>
  <c r="H8" i="10"/>
  <c r="J13" i="15" s="1"/>
  <c r="H30" i="10"/>
  <c r="H20" i="10"/>
  <c r="H19" i="10"/>
  <c r="H14" i="10"/>
  <c r="AP2" i="3"/>
  <c r="AO38" i="3"/>
  <c r="AO36" i="3"/>
  <c r="AO25" i="3"/>
  <c r="AO14" i="3"/>
  <c r="AO7" i="3"/>
  <c r="AO2" i="3"/>
  <c r="U433" i="3"/>
  <c r="U337" i="3" l="1"/>
  <c r="U344" i="3"/>
  <c r="U345" i="3" s="1"/>
  <c r="H144" i="10"/>
  <c r="H78" i="8"/>
  <c r="I78" i="8" s="1"/>
  <c r="U336" i="3"/>
  <c r="H21" i="21"/>
  <c r="H23" i="10"/>
  <c r="H168" i="10" s="1"/>
  <c r="H171" i="10" s="1"/>
  <c r="H25" i="21"/>
  <c r="H29" i="21"/>
  <c r="H31" i="21"/>
  <c r="J23" i="19"/>
  <c r="J15" i="19"/>
  <c r="H21" i="10"/>
  <c r="H84" i="10" s="1"/>
  <c r="H22" i="10"/>
  <c r="U268" i="3"/>
  <c r="U267" i="3"/>
  <c r="U254" i="3"/>
  <c r="U246" i="3"/>
  <c r="J1454" i="13" s="1"/>
  <c r="J1455" i="13" s="1"/>
  <c r="U245" i="3"/>
  <c r="J1443" i="13" s="1"/>
  <c r="U236" i="3"/>
  <c r="U240" i="3"/>
  <c r="U239" i="3"/>
  <c r="U230" i="3"/>
  <c r="U227" i="3"/>
  <c r="U222" i="3"/>
  <c r="U105" i="3"/>
  <c r="U94" i="3"/>
  <c r="U92" i="3"/>
  <c r="U83" i="3"/>
  <c r="J16" i="19" s="1"/>
  <c r="J17" i="19" s="1"/>
  <c r="U81" i="3"/>
  <c r="U78" i="3"/>
  <c r="U72" i="3"/>
  <c r="U69" i="3"/>
  <c r="U55" i="3"/>
  <c r="U54" i="3"/>
  <c r="U53" i="3"/>
  <c r="U39" i="3"/>
  <c r="P466" i="19" s="1"/>
  <c r="U9" i="3"/>
  <c r="U8" i="3"/>
  <c r="G22" i="8"/>
  <c r="W442" i="3"/>
  <c r="H197" i="2"/>
  <c r="G72" i="8"/>
  <c r="G25" i="8"/>
  <c r="U60" i="3"/>
  <c r="U19" i="3"/>
  <c r="I33" i="19"/>
  <c r="H33" i="19"/>
  <c r="U33" i="19" s="1"/>
  <c r="G33" i="19"/>
  <c r="F33" i="19"/>
  <c r="S33" i="19" s="1"/>
  <c r="E33" i="19"/>
  <c r="D33" i="19"/>
  <c r="C33" i="19"/>
  <c r="I32" i="19"/>
  <c r="H32" i="19"/>
  <c r="U32" i="19" s="1"/>
  <c r="G32" i="19"/>
  <c r="F32" i="19"/>
  <c r="S32" i="19" s="1"/>
  <c r="E32" i="19"/>
  <c r="D32" i="19"/>
  <c r="C32" i="19"/>
  <c r="J37" i="19"/>
  <c r="I37" i="19"/>
  <c r="I28" i="19"/>
  <c r="I22" i="19"/>
  <c r="I13" i="19"/>
  <c r="I12" i="19"/>
  <c r="I9" i="19"/>
  <c r="I7" i="19"/>
  <c r="I6" i="19"/>
  <c r="I4" i="19"/>
  <c r="L4" i="23"/>
  <c r="M4" i="23"/>
  <c r="N4" i="23"/>
  <c r="L5" i="23"/>
  <c r="M5" i="23"/>
  <c r="N5" i="23"/>
  <c r="L6" i="23"/>
  <c r="M6" i="23"/>
  <c r="N6" i="23"/>
  <c r="L7" i="23"/>
  <c r="M7" i="23"/>
  <c r="N7" i="23"/>
  <c r="L8" i="23"/>
  <c r="M8" i="23"/>
  <c r="N8" i="23"/>
  <c r="L9" i="23"/>
  <c r="M9" i="23"/>
  <c r="N9" i="23"/>
  <c r="L10" i="23"/>
  <c r="M10" i="23"/>
  <c r="N10" i="23"/>
  <c r="L11" i="23"/>
  <c r="M11" i="23"/>
  <c r="N11" i="23"/>
  <c r="L12" i="23"/>
  <c r="M12" i="23"/>
  <c r="N12" i="23"/>
  <c r="L13" i="23"/>
  <c r="M13" i="23"/>
  <c r="N13" i="23"/>
  <c r="L14" i="23"/>
  <c r="M14" i="23"/>
  <c r="N14" i="23"/>
  <c r="M3" i="23"/>
  <c r="N3" i="23"/>
  <c r="L3" i="23"/>
  <c r="I2" i="23"/>
  <c r="M2" i="23" s="1"/>
  <c r="J2" i="23"/>
  <c r="N2" i="23" s="1"/>
  <c r="H2" i="23"/>
  <c r="L2" i="23" s="1"/>
  <c r="B1251" i="13"/>
  <c r="B1256" i="13" s="1"/>
  <c r="B1261" i="13" s="1"/>
  <c r="B1249" i="13"/>
  <c r="B1254" i="13" s="1"/>
  <c r="B1259" i="13" s="1"/>
  <c r="B1250" i="13"/>
  <c r="B1255" i="13" s="1"/>
  <c r="B1260" i="13" s="1"/>
  <c r="AB38" i="23"/>
  <c r="AB37" i="23"/>
  <c r="AB36" i="23"/>
  <c r="AB35" i="23"/>
  <c r="AB34" i="23"/>
  <c r="AB33" i="23"/>
  <c r="AB32" i="23"/>
  <c r="AB31" i="23"/>
  <c r="AB30" i="23"/>
  <c r="AB29" i="23"/>
  <c r="AB28" i="23"/>
  <c r="AB27" i="23"/>
  <c r="AB26" i="23"/>
  <c r="AB25" i="23"/>
  <c r="AB24" i="23"/>
  <c r="AB23" i="23"/>
  <c r="AB22" i="23"/>
  <c r="AB21" i="23"/>
  <c r="AB20" i="23"/>
  <c r="AB19" i="23"/>
  <c r="AB18" i="23"/>
  <c r="AB17" i="23"/>
  <c r="AB16" i="23"/>
  <c r="AB15" i="23"/>
  <c r="D1244" i="13"/>
  <c r="D1254" i="13" s="1"/>
  <c r="W3" i="23"/>
  <c r="W4" i="23"/>
  <c r="W5" i="23"/>
  <c r="W6" i="23"/>
  <c r="W7" i="23"/>
  <c r="W8" i="23"/>
  <c r="W9" i="23"/>
  <c r="W10" i="23"/>
  <c r="W11" i="23"/>
  <c r="W12" i="23"/>
  <c r="W13" i="23"/>
  <c r="W14" i="23"/>
  <c r="W15" i="23"/>
  <c r="W16" i="23"/>
  <c r="W17" i="23"/>
  <c r="W18" i="23"/>
  <c r="W19" i="23"/>
  <c r="W20" i="23"/>
  <c r="W21" i="23"/>
  <c r="W22" i="23"/>
  <c r="W23" i="23"/>
  <c r="W24" i="23"/>
  <c r="W25" i="23"/>
  <c r="W26" i="23"/>
  <c r="W27" i="23"/>
  <c r="X39" i="23" s="1"/>
  <c r="W28" i="23"/>
  <c r="X40" i="23" s="1"/>
  <c r="W29" i="23"/>
  <c r="X41" i="23" s="1"/>
  <c r="W30" i="23"/>
  <c r="X42" i="23" s="1"/>
  <c r="W31" i="23"/>
  <c r="X43" i="23" s="1"/>
  <c r="W32" i="23"/>
  <c r="X44" i="23" s="1"/>
  <c r="W33" i="23"/>
  <c r="X45" i="23" s="1"/>
  <c r="W34" i="23"/>
  <c r="X46" i="23" s="1"/>
  <c r="W35" i="23"/>
  <c r="W36" i="23"/>
  <c r="W37" i="23"/>
  <c r="W38" i="23"/>
  <c r="O4" i="23"/>
  <c r="O5" i="23"/>
  <c r="O6" i="23"/>
  <c r="O7" i="23"/>
  <c r="O8" i="23"/>
  <c r="O9" i="23"/>
  <c r="O10" i="23"/>
  <c r="O11" i="23"/>
  <c r="O12" i="23"/>
  <c r="O13" i="23"/>
  <c r="O14" i="23"/>
  <c r="O15" i="23"/>
  <c r="O16" i="23"/>
  <c r="O17" i="23"/>
  <c r="O18" i="23"/>
  <c r="C1440" i="13" s="1"/>
  <c r="C1441" i="13" s="1"/>
  <c r="O19" i="23"/>
  <c r="O20" i="23"/>
  <c r="O21" i="23"/>
  <c r="D1440" i="13" s="1"/>
  <c r="D1441" i="13" s="1"/>
  <c r="O22" i="23"/>
  <c r="O23" i="23"/>
  <c r="O24" i="23"/>
  <c r="E1440" i="13" s="1"/>
  <c r="E1441" i="13" s="1"/>
  <c r="O25" i="23"/>
  <c r="O26" i="23"/>
  <c r="O27" i="23"/>
  <c r="O28" i="23"/>
  <c r="P40" i="23" s="1"/>
  <c r="O29" i="23"/>
  <c r="P41" i="23" s="1"/>
  <c r="O30" i="23"/>
  <c r="O31" i="23"/>
  <c r="P43" i="23" s="1"/>
  <c r="O32" i="23"/>
  <c r="P44" i="23" s="1"/>
  <c r="O33" i="23"/>
  <c r="O34" i="23"/>
  <c r="P46" i="23" s="1"/>
  <c r="O35" i="23"/>
  <c r="O36" i="23"/>
  <c r="I1440" i="13" s="1"/>
  <c r="I1441" i="13" s="1"/>
  <c r="O37" i="23"/>
  <c r="C1244" i="13"/>
  <c r="K1244" i="13" s="1"/>
  <c r="O3" i="23"/>
  <c r="H1259" i="13"/>
  <c r="G1255" i="13"/>
  <c r="G1250" i="13"/>
  <c r="E1260" i="13"/>
  <c r="M1258" i="13"/>
  <c r="L1258" i="13"/>
  <c r="K1258" i="13"/>
  <c r="M1253" i="13"/>
  <c r="L1253" i="13"/>
  <c r="K1253" i="13"/>
  <c r="E1250" i="13"/>
  <c r="D1250" i="13"/>
  <c r="M1248" i="13"/>
  <c r="L1248" i="13"/>
  <c r="K1248" i="13"/>
  <c r="L1243" i="13"/>
  <c r="M1243" i="13"/>
  <c r="K1243" i="13"/>
  <c r="E1245" i="13"/>
  <c r="P45" i="23" l="1"/>
  <c r="H1440" i="13"/>
  <c r="H1441" i="13" s="1"/>
  <c r="J1448" i="13"/>
  <c r="J1444" i="13"/>
  <c r="P42" i="23"/>
  <c r="G1440" i="13"/>
  <c r="G1441" i="13" s="1"/>
  <c r="P39" i="23"/>
  <c r="F1440" i="13"/>
  <c r="P448" i="19"/>
  <c r="N91" i="19"/>
  <c r="G1358" i="13"/>
  <c r="G1359" i="13" s="1"/>
  <c r="P30" i="23"/>
  <c r="P22" i="23"/>
  <c r="X33" i="23"/>
  <c r="X25" i="23"/>
  <c r="X17" i="23"/>
  <c r="P36" i="23"/>
  <c r="P20" i="23"/>
  <c r="P28" i="23"/>
  <c r="P32" i="23"/>
  <c r="P24" i="23"/>
  <c r="P16" i="23"/>
  <c r="X35" i="23"/>
  <c r="X27" i="23"/>
  <c r="X19" i="23"/>
  <c r="X23" i="23"/>
  <c r="P31" i="23"/>
  <c r="X26" i="23"/>
  <c r="P23" i="23"/>
  <c r="X34" i="23"/>
  <c r="X18" i="23"/>
  <c r="P37" i="23"/>
  <c r="P29" i="23"/>
  <c r="P21" i="23"/>
  <c r="X32" i="23"/>
  <c r="X24" i="23"/>
  <c r="X16" i="23"/>
  <c r="H95" i="10"/>
  <c r="H50" i="10"/>
  <c r="D1522" i="13" s="1"/>
  <c r="AB346" i="19"/>
  <c r="G92" i="8"/>
  <c r="U417" i="3"/>
  <c r="U285" i="3"/>
  <c r="U279" i="3" s="1"/>
  <c r="G91" i="8"/>
  <c r="U416" i="3"/>
  <c r="U96" i="3"/>
  <c r="J18" i="19" s="1"/>
  <c r="U259" i="3"/>
  <c r="U11" i="3"/>
  <c r="U12" i="3" s="1"/>
  <c r="U286" i="3"/>
  <c r="U280" i="3" s="1"/>
  <c r="K32" i="19"/>
  <c r="U84" i="3"/>
  <c r="U248" i="3"/>
  <c r="U394" i="3" s="1"/>
  <c r="P459" i="19" s="1"/>
  <c r="H52" i="10"/>
  <c r="U270" i="3"/>
  <c r="U355" i="3"/>
  <c r="U90" i="3"/>
  <c r="U258" i="3"/>
  <c r="I23" i="19"/>
  <c r="P38" i="23"/>
  <c r="X38" i="23"/>
  <c r="X22" i="23"/>
  <c r="P26" i="23"/>
  <c r="X29" i="23"/>
  <c r="C1254" i="13"/>
  <c r="K1254" i="13" s="1"/>
  <c r="P35" i="23"/>
  <c r="P19" i="23"/>
  <c r="X30" i="23"/>
  <c r="P34" i="23"/>
  <c r="X21" i="23"/>
  <c r="P33" i="23"/>
  <c r="P25" i="23"/>
  <c r="P17" i="23"/>
  <c r="X36" i="23"/>
  <c r="X28" i="23"/>
  <c r="X20" i="23"/>
  <c r="D1249" i="13"/>
  <c r="L1249" i="13" s="1"/>
  <c r="C1249" i="13"/>
  <c r="P15" i="23"/>
  <c r="P27" i="23"/>
  <c r="P18" i="23"/>
  <c r="X37" i="23"/>
  <c r="X15" i="23"/>
  <c r="X31" i="23"/>
  <c r="E1244" i="13"/>
  <c r="E1246" i="13" s="1"/>
  <c r="L1244" i="13"/>
  <c r="D1521" i="13" l="1"/>
  <c r="F1441" i="13"/>
  <c r="C1535" i="13" s="1"/>
  <c r="D1536" i="13" s="1"/>
  <c r="P460" i="19"/>
  <c r="J29" i="19"/>
  <c r="J30" i="19" s="1"/>
  <c r="U393" i="3"/>
  <c r="P452" i="19" s="1"/>
  <c r="H48" i="10"/>
  <c r="D1518" i="13" s="1"/>
  <c r="D1524" i="13" s="1"/>
  <c r="AC347" i="19"/>
  <c r="AB343" i="19"/>
  <c r="AD343" i="19" s="1"/>
  <c r="AC348" i="19"/>
  <c r="AD346" i="19"/>
  <c r="U415" i="3"/>
  <c r="T32" i="19"/>
  <c r="U97" i="3"/>
  <c r="U40" i="3"/>
  <c r="U99" i="3"/>
  <c r="U110" i="3" s="1"/>
  <c r="U93" i="3"/>
  <c r="J34" i="19"/>
  <c r="U261" i="3"/>
  <c r="U288" i="3"/>
  <c r="U282" i="3" s="1"/>
  <c r="E1249" i="13"/>
  <c r="E1251" i="13" s="1"/>
  <c r="E1254" i="13"/>
  <c r="E1256" i="13" s="1"/>
  <c r="M1244" i="13"/>
  <c r="K1249" i="13"/>
  <c r="K1259" i="13" s="1"/>
  <c r="L1254" i="13"/>
  <c r="D1256" i="13"/>
  <c r="D1259" i="13"/>
  <c r="C1546" i="13" l="1"/>
  <c r="C1570" i="13"/>
  <c r="P454" i="19"/>
  <c r="AC349" i="19"/>
  <c r="W420" i="3"/>
  <c r="U101" i="3"/>
  <c r="J19" i="19"/>
  <c r="J21" i="19" s="1"/>
  <c r="U100" i="3"/>
  <c r="J20" i="19" s="1"/>
  <c r="M1249" i="13"/>
  <c r="M1251" i="13" s="1"/>
  <c r="M1254" i="13"/>
  <c r="M1256" i="13" s="1"/>
  <c r="E1259" i="13"/>
  <c r="E1261" i="13" s="1"/>
  <c r="C1259" i="13"/>
  <c r="L1259" i="13"/>
  <c r="W422" i="3" l="1"/>
  <c r="W421" i="3"/>
  <c r="W423" i="3"/>
  <c r="M1259" i="13"/>
  <c r="C1230" i="13" l="1"/>
  <c r="C1260" i="13" s="1"/>
  <c r="D1230" i="13"/>
  <c r="D1260" i="13" s="1"/>
  <c r="D1261" i="13" s="1"/>
  <c r="D1330" i="13"/>
  <c r="C1329" i="13"/>
  <c r="C1330" i="13"/>
  <c r="T433" i="3"/>
  <c r="C1261" i="13" l="1"/>
  <c r="D1231" i="13"/>
  <c r="D1245" i="13"/>
  <c r="D1246" i="13" s="1"/>
  <c r="C1231" i="13"/>
  <c r="Y353" i="19"/>
  <c r="V353" i="19"/>
  <c r="S353" i="19"/>
  <c r="P353" i="19"/>
  <c r="M353" i="19"/>
  <c r="I353" i="19"/>
  <c r="F353" i="19"/>
  <c r="F355" i="19"/>
  <c r="F354" i="19"/>
  <c r="I355" i="19"/>
  <c r="I354" i="19"/>
  <c r="M355" i="19"/>
  <c r="M354" i="19"/>
  <c r="P355" i="19"/>
  <c r="P354" i="19"/>
  <c r="S355" i="19"/>
  <c r="S354" i="19"/>
  <c r="V355" i="19"/>
  <c r="V354" i="19"/>
  <c r="Y355" i="19"/>
  <c r="Y354" i="19"/>
  <c r="B356" i="19"/>
  <c r="B355" i="19"/>
  <c r="B354" i="19"/>
  <c r="B381" i="19"/>
  <c r="Y369" i="19"/>
  <c r="AB374" i="19" s="1"/>
  <c r="S365" i="19"/>
  <c r="V365" i="19"/>
  <c r="Y365" i="19"/>
  <c r="S364" i="19"/>
  <c r="V364" i="19"/>
  <c r="Y364" i="19"/>
  <c r="I365" i="19"/>
  <c r="S370" i="19"/>
  <c r="S375" i="19" s="1"/>
  <c r="V370" i="19"/>
  <c r="Y370" i="19"/>
  <c r="AB375" i="19" s="1"/>
  <c r="S369" i="19"/>
  <c r="S374" i="19" s="1"/>
  <c r="V369" i="19"/>
  <c r="Y361" i="19"/>
  <c r="V361" i="19"/>
  <c r="S361" i="19"/>
  <c r="Y368" i="19"/>
  <c r="V368" i="19"/>
  <c r="S368" i="19"/>
  <c r="Y363" i="19"/>
  <c r="Y373" i="19" s="1"/>
  <c r="F1361" i="13" s="1"/>
  <c r="F1374" i="13" s="1"/>
  <c r="V363" i="19"/>
  <c r="V373" i="19" s="1"/>
  <c r="E1361" i="13" s="1"/>
  <c r="E1374" i="13" s="1"/>
  <c r="S363" i="19"/>
  <c r="S373" i="19" s="1"/>
  <c r="D1361" i="13" s="1"/>
  <c r="D1374" i="13" s="1"/>
  <c r="AA345" i="19"/>
  <c r="AH380" i="19" s="1"/>
  <c r="AA344" i="19"/>
  <c r="X345" i="19"/>
  <c r="X344" i="19"/>
  <c r="U345" i="19"/>
  <c r="U344" i="19"/>
  <c r="Z346" i="19"/>
  <c r="W346" i="19"/>
  <c r="W343" i="19" s="1"/>
  <c r="T346" i="19"/>
  <c r="AA336" i="19"/>
  <c r="AA335" i="19"/>
  <c r="X336" i="19"/>
  <c r="X335" i="19"/>
  <c r="U336" i="19"/>
  <c r="U335" i="19"/>
  <c r="T337" i="19"/>
  <c r="T334" i="19" s="1"/>
  <c r="Z337" i="19"/>
  <c r="W337" i="19"/>
  <c r="D769" i="16"/>
  <c r="D768" i="16"/>
  <c r="D767" i="16"/>
  <c r="C767" i="16"/>
  <c r="T193" i="3"/>
  <c r="B153" i="3"/>
  <c r="B158" i="3" s="1"/>
  <c r="B152" i="3"/>
  <c r="B157" i="3" s="1"/>
  <c r="B151" i="3"/>
  <c r="B156" i="3" s="1"/>
  <c r="T141" i="3"/>
  <c r="T152" i="3" s="1"/>
  <c r="T132" i="3"/>
  <c r="T134" i="3" s="1"/>
  <c r="D765" i="16" s="1"/>
  <c r="AB376" i="19" l="1"/>
  <c r="G1362" i="13" s="1"/>
  <c r="AB380" i="19"/>
  <c r="S356" i="19"/>
  <c r="F356" i="19"/>
  <c r="V356" i="19"/>
  <c r="M356" i="19"/>
  <c r="P356" i="19"/>
  <c r="W351" i="19"/>
  <c r="Z334" i="19"/>
  <c r="Z351" i="19"/>
  <c r="T162" i="3"/>
  <c r="D1251" i="13"/>
  <c r="Y356" i="19"/>
  <c r="I356" i="19"/>
  <c r="S378" i="19"/>
  <c r="V378" i="19"/>
  <c r="Y378" i="19"/>
  <c r="Y371" i="19"/>
  <c r="S371" i="19"/>
  <c r="S366" i="19"/>
  <c r="Y366" i="19"/>
  <c r="V371" i="19"/>
  <c r="V366" i="19"/>
  <c r="Y375" i="19"/>
  <c r="Z343" i="19"/>
  <c r="Y374" i="19"/>
  <c r="V375" i="19"/>
  <c r="V374" i="19"/>
  <c r="T343" i="19"/>
  <c r="W334" i="19"/>
  <c r="T160" i="3"/>
  <c r="T161" i="3"/>
  <c r="T157" i="3"/>
  <c r="T153" i="3"/>
  <c r="T158" i="3" s="1"/>
  <c r="I1302" i="13"/>
  <c r="Y32" i="3"/>
  <c r="M1301" i="13"/>
  <c r="L1301" i="13"/>
  <c r="K1301" i="13"/>
  <c r="I1301" i="13"/>
  <c r="H1301" i="13"/>
  <c r="G1301" i="13"/>
  <c r="F1301" i="13"/>
  <c r="E1301" i="13"/>
  <c r="D1301" i="13"/>
  <c r="L1300" i="13"/>
  <c r="C1301" i="13"/>
  <c r="N1298" i="13"/>
  <c r="M1298" i="13"/>
  <c r="L1298" i="13"/>
  <c r="K1298" i="13"/>
  <c r="J1298" i="13"/>
  <c r="I1298" i="13"/>
  <c r="H1298" i="13"/>
  <c r="G1298" i="13"/>
  <c r="F1298" i="13"/>
  <c r="E1298" i="13"/>
  <c r="D1298" i="13"/>
  <c r="C1298" i="13"/>
  <c r="AH381" i="19" l="1"/>
  <c r="AH379" i="19"/>
  <c r="H1362" i="13"/>
  <c r="Y376" i="19"/>
  <c r="F1362" i="13" s="1"/>
  <c r="S376" i="19"/>
  <c r="D1362" i="13" s="1"/>
  <c r="V376" i="19"/>
  <c r="E1362" i="13" s="1"/>
  <c r="P20" i="20"/>
  <c r="O20" i="20"/>
  <c r="N20" i="20"/>
  <c r="K1279" i="13"/>
  <c r="J1279" i="13"/>
  <c r="I1279" i="13"/>
  <c r="H1279" i="13"/>
  <c r="K1277" i="13"/>
  <c r="J1277" i="13"/>
  <c r="I1277" i="13"/>
  <c r="H1277" i="13"/>
  <c r="H1267" i="13"/>
  <c r="M1267" i="13" s="1"/>
  <c r="G1363" i="13" l="1"/>
  <c r="H1363" i="13"/>
  <c r="I1363" i="13"/>
  <c r="I77" i="8"/>
  <c r="J77" i="8" s="1"/>
  <c r="K77" i="8" s="1"/>
  <c r="L77" i="8" s="1"/>
  <c r="M77" i="8" s="1"/>
  <c r="N77" i="8" s="1"/>
  <c r="T267" i="3"/>
  <c r="U273" i="3" s="1"/>
  <c r="T268" i="3"/>
  <c r="S268" i="3"/>
  <c r="R268" i="3"/>
  <c r="S267" i="3"/>
  <c r="R267" i="3"/>
  <c r="U277" i="3" l="1"/>
  <c r="U265" i="3"/>
  <c r="U274" i="3"/>
  <c r="J44" i="19"/>
  <c r="O127" i="19"/>
  <c r="N127" i="19"/>
  <c r="M127" i="19"/>
  <c r="O134" i="19"/>
  <c r="O70" i="19"/>
  <c r="N70" i="19"/>
  <c r="O74" i="19"/>
  <c r="N74" i="19"/>
  <c r="M74" i="19"/>
  <c r="M70" i="19"/>
  <c r="T222" i="3"/>
  <c r="J45" i="19" s="1"/>
  <c r="T19" i="3"/>
  <c r="N59" i="19" s="1"/>
  <c r="K58" i="19"/>
  <c r="M58" i="19"/>
  <c r="N58" i="19"/>
  <c r="T213" i="3"/>
  <c r="T214" i="3"/>
  <c r="T199" i="3"/>
  <c r="T210" i="3"/>
  <c r="T209" i="3"/>
  <c r="M101" i="19"/>
  <c r="M98" i="19"/>
  <c r="M90" i="19"/>
  <c r="I1381" i="13" s="1"/>
  <c r="M89" i="19"/>
  <c r="I1380" i="13" s="1"/>
  <c r="M86" i="19"/>
  <c r="M83" i="19"/>
  <c r="N84" i="19" s="1"/>
  <c r="M81" i="19"/>
  <c r="N82" i="19" s="1"/>
  <c r="T366" i="3"/>
  <c r="T365" i="3" s="1"/>
  <c r="T230" i="3"/>
  <c r="T225" i="3"/>
  <c r="T254" i="3"/>
  <c r="T240" i="3"/>
  <c r="T239" i="3"/>
  <c r="T246" i="3"/>
  <c r="I1454" i="13" s="1"/>
  <c r="I1455" i="13" s="1"/>
  <c r="T245" i="3"/>
  <c r="I1443" i="13" s="1"/>
  <c r="T236" i="3"/>
  <c r="F1358" i="13" s="1"/>
  <c r="F1359" i="13" s="1"/>
  <c r="T105" i="3"/>
  <c r="T96" i="3"/>
  <c r="I18" i="19" s="1"/>
  <c r="T83" i="3"/>
  <c r="I16" i="19" s="1"/>
  <c r="T81" i="3"/>
  <c r="T78" i="3"/>
  <c r="T72" i="3"/>
  <c r="T69" i="3"/>
  <c r="T63" i="3"/>
  <c r="T55" i="3"/>
  <c r="T54" i="3"/>
  <c r="T53" i="3"/>
  <c r="U56" i="3" s="1"/>
  <c r="T48" i="3"/>
  <c r="T45" i="3"/>
  <c r="T46" i="3" s="1"/>
  <c r="T39" i="3"/>
  <c r="O466" i="19" s="1"/>
  <c r="T33" i="3"/>
  <c r="T30" i="3"/>
  <c r="T32" i="3" s="1"/>
  <c r="O75" i="19" s="1"/>
  <c r="T29" i="3"/>
  <c r="T27" i="3"/>
  <c r="T16" i="3"/>
  <c r="T11" i="3"/>
  <c r="T12" i="3" s="1"/>
  <c r="D1182" i="13"/>
  <c r="D1183" i="13" s="1"/>
  <c r="D1184" i="13" s="1"/>
  <c r="D1185" i="13" s="1"/>
  <c r="D1186" i="13" s="1"/>
  <c r="D1187" i="13" s="1"/>
  <c r="D1188" i="13" s="1"/>
  <c r="D1189" i="13" s="1"/>
  <c r="D1190" i="13" s="1"/>
  <c r="D1191" i="13" s="1"/>
  <c r="D1192" i="13" s="1"/>
  <c r="D1193" i="13" s="1"/>
  <c r="E1182" i="13"/>
  <c r="C1183" i="13"/>
  <c r="C1184" i="13" s="1"/>
  <c r="C1185" i="13" s="1"/>
  <c r="C1186" i="13" s="1"/>
  <c r="C1187" i="13" s="1"/>
  <c r="C1188" i="13" s="1"/>
  <c r="C1189" i="13" s="1"/>
  <c r="C1190" i="13" s="1"/>
  <c r="C1191" i="13" s="1"/>
  <c r="C1192" i="13" s="1"/>
  <c r="C1193" i="13" s="1"/>
  <c r="P193" i="3"/>
  <c r="S193" i="3"/>
  <c r="P189" i="3"/>
  <c r="S189" i="3"/>
  <c r="P179" i="3"/>
  <c r="P182" i="3" s="1"/>
  <c r="P170" i="3"/>
  <c r="P173" i="3" s="1"/>
  <c r="S179" i="3"/>
  <c r="S182" i="3" s="1"/>
  <c r="S170" i="3"/>
  <c r="S173" i="3" s="1"/>
  <c r="H948" i="13"/>
  <c r="I1448" i="13" l="1"/>
  <c r="I1444" i="13"/>
  <c r="O448" i="19"/>
  <c r="G1366" i="13"/>
  <c r="T31" i="3"/>
  <c r="I26" i="19"/>
  <c r="U21" i="3"/>
  <c r="J1418" i="13" s="1"/>
  <c r="T416" i="3"/>
  <c r="U22" i="3"/>
  <c r="J1419" i="13" s="1"/>
  <c r="T417" i="3"/>
  <c r="O138" i="19"/>
  <c r="U356" i="3"/>
  <c r="U357" i="3" s="1"/>
  <c r="U242" i="3"/>
  <c r="T84" i="3"/>
  <c r="T59" i="3"/>
  <c r="T90" i="3" s="1"/>
  <c r="I10" i="19"/>
  <c r="T258" i="3"/>
  <c r="Y337" i="19"/>
  <c r="T286" i="3"/>
  <c r="F1331" i="13"/>
  <c r="F1328" i="13" s="1"/>
  <c r="D1328" i="13" s="1"/>
  <c r="Y346" i="19"/>
  <c r="G1245" i="13"/>
  <c r="C1328" i="13"/>
  <c r="T40" i="3"/>
  <c r="T218" i="3"/>
  <c r="T270" i="3"/>
  <c r="M91" i="19"/>
  <c r="T88" i="3"/>
  <c r="T259" i="3"/>
  <c r="O135" i="19"/>
  <c r="T355" i="3"/>
  <c r="T248" i="3"/>
  <c r="T285" i="3"/>
  <c r="P183" i="3"/>
  <c r="S183" i="3"/>
  <c r="D1194" i="13"/>
  <c r="E1193" i="13"/>
  <c r="E1188" i="13"/>
  <c r="E1187" i="13"/>
  <c r="E1190" i="13"/>
  <c r="E1183" i="13"/>
  <c r="E1191" i="13"/>
  <c r="E1184" i="13"/>
  <c r="E1192" i="13"/>
  <c r="E1189" i="13"/>
  <c r="E1185" i="13"/>
  <c r="E1186" i="13"/>
  <c r="P184" i="3"/>
  <c r="S184" i="3"/>
  <c r="D630" i="16"/>
  <c r="O128" i="19" l="1"/>
  <c r="T279" i="3"/>
  <c r="O129" i="19"/>
  <c r="T280" i="3"/>
  <c r="T393" i="3"/>
  <c r="O452" i="19" s="1"/>
  <c r="T394" i="3"/>
  <c r="O459" i="19" s="1"/>
  <c r="U41" i="3"/>
  <c r="I29" i="19"/>
  <c r="J25" i="19" s="1"/>
  <c r="T415" i="3"/>
  <c r="I14" i="19"/>
  <c r="T60" i="3"/>
  <c r="O71" i="19" s="1"/>
  <c r="I34" i="19"/>
  <c r="U276" i="3"/>
  <c r="J35" i="19" s="1"/>
  <c r="T97" i="3"/>
  <c r="T227" i="3"/>
  <c r="U61" i="3"/>
  <c r="U219" i="3"/>
  <c r="D1331" i="13"/>
  <c r="E1331" i="13" s="1"/>
  <c r="E1329" i="13" s="1"/>
  <c r="D1329" i="13" s="1"/>
  <c r="U18" i="3"/>
  <c r="G1260" i="13"/>
  <c r="C1245" i="13" s="1"/>
  <c r="C1246" i="13" s="1"/>
  <c r="Y343" i="19"/>
  <c r="AA343" i="19" s="1"/>
  <c r="AA346" i="19"/>
  <c r="Z347" i="19"/>
  <c r="Z348" i="19"/>
  <c r="Y380" i="19"/>
  <c r="I31" i="19"/>
  <c r="Y334" i="19"/>
  <c r="Z338" i="19"/>
  <c r="Z339" i="19"/>
  <c r="AA337" i="19"/>
  <c r="Y379" i="19"/>
  <c r="Y381" i="19"/>
  <c r="O136" i="19"/>
  <c r="T288" i="3"/>
  <c r="T282" i="3" s="1"/>
  <c r="T99" i="3"/>
  <c r="T110" i="3" s="1"/>
  <c r="T93" i="3"/>
  <c r="T261" i="3"/>
  <c r="E1194" i="13"/>
  <c r="E1195" i="13" s="1"/>
  <c r="E1196" i="13" s="1"/>
  <c r="H37" i="19"/>
  <c r="G37" i="19"/>
  <c r="F37" i="19"/>
  <c r="E37" i="19"/>
  <c r="D37" i="19"/>
  <c r="C37" i="19"/>
  <c r="P20" i="19"/>
  <c r="J1129" i="13"/>
  <c r="I1131" i="13"/>
  <c r="I1130" i="13"/>
  <c r="I1129" i="13"/>
  <c r="I1128" i="13"/>
  <c r="I1127" i="13"/>
  <c r="G1370" i="13" l="1"/>
  <c r="O460" i="19"/>
  <c r="P461" i="19"/>
  <c r="O454" i="19"/>
  <c r="P455" i="19"/>
  <c r="I30" i="19"/>
  <c r="I15" i="19"/>
  <c r="I17" i="19"/>
  <c r="U420" i="3"/>
  <c r="U425" i="3" s="1"/>
  <c r="U426" i="3" s="1"/>
  <c r="I19" i="19"/>
  <c r="I21" i="19" s="1"/>
  <c r="Z340" i="19"/>
  <c r="Z349" i="19"/>
  <c r="O130" i="19"/>
  <c r="AA334" i="19"/>
  <c r="C1250" i="13"/>
  <c r="C1251" i="13" s="1"/>
  <c r="C1255" i="13"/>
  <c r="C1256" i="13" s="1"/>
  <c r="T101" i="3"/>
  <c r="T100" i="3"/>
  <c r="I20" i="19" s="1"/>
  <c r="C1204" i="13"/>
  <c r="D1204" i="13" s="1"/>
  <c r="E1204" i="13" s="1"/>
  <c r="U422" i="3" l="1"/>
  <c r="U447" i="3" s="1"/>
  <c r="U421" i="3"/>
  <c r="U446" i="3" s="1"/>
  <c r="C1205" i="13"/>
  <c r="D1205" i="13" s="1"/>
  <c r="C1206" i="13" s="1"/>
  <c r="C1207" i="13" s="1"/>
  <c r="G948" i="13"/>
  <c r="G955" i="13" s="1"/>
  <c r="G1108" i="13"/>
  <c r="F1108" i="13"/>
  <c r="E1108" i="13"/>
  <c r="D1108" i="13"/>
  <c r="C1108" i="13"/>
  <c r="C1140" i="13"/>
  <c r="C1155" i="13"/>
  <c r="B1151" i="13"/>
  <c r="B1150" i="13"/>
  <c r="B1149" i="13"/>
  <c r="C1165" i="13"/>
  <c r="B1137" i="13"/>
  <c r="B1144" i="13" s="1"/>
  <c r="B1136" i="13"/>
  <c r="B1143" i="13" s="1"/>
  <c r="C1146" i="13"/>
  <c r="D1146" i="13" s="1"/>
  <c r="C1128" i="13"/>
  <c r="J1128" i="13" s="1"/>
  <c r="C1127" i="13"/>
  <c r="J1127" i="13" s="1"/>
  <c r="B1156" i="13"/>
  <c r="B1161" i="13" s="1"/>
  <c r="B1155" i="13"/>
  <c r="B1160" i="13" s="1"/>
  <c r="C1131" i="13"/>
  <c r="J1130" i="13" s="1"/>
  <c r="D1101" i="13"/>
  <c r="C1101" i="13"/>
  <c r="U445" i="3" l="1"/>
  <c r="C1139" i="13"/>
  <c r="D1155" i="13"/>
  <c r="C1130" i="13"/>
  <c r="J1055" i="13"/>
  <c r="J1056" i="13" s="1"/>
  <c r="J1057" i="13" s="1"/>
  <c r="D1139" i="13" l="1"/>
  <c r="C1145" i="13"/>
  <c r="D1145" i="13" l="1"/>
  <c r="J1053" i="13" l="1"/>
  <c r="D1061" i="13"/>
  <c r="D1089" i="13" l="1"/>
  <c r="D1091" i="13" s="1"/>
  <c r="C1089" i="13"/>
  <c r="C1091" i="13" s="1"/>
  <c r="D1093" i="13" l="1"/>
  <c r="D1095" i="13" s="1"/>
  <c r="D1077" i="13"/>
  <c r="D1065" i="13"/>
  <c r="D1076" i="13" s="1"/>
  <c r="C1070" i="13"/>
  <c r="C1078" i="13"/>
  <c r="C1067" i="13"/>
  <c r="C1069" i="13" s="1"/>
  <c r="C1066" i="13"/>
  <c r="P12" i="20"/>
  <c r="P9" i="20"/>
  <c r="Y96" i="3"/>
  <c r="W96" i="3"/>
  <c r="K18" i="19" s="1"/>
  <c r="E96" i="3"/>
  <c r="F96" i="3"/>
  <c r="G96" i="3"/>
  <c r="K96" i="3"/>
  <c r="J96" i="3"/>
  <c r="I96" i="3"/>
  <c r="H96" i="3"/>
  <c r="O96" i="3"/>
  <c r="N96" i="3"/>
  <c r="M96" i="3"/>
  <c r="R96" i="3"/>
  <c r="S96" i="3"/>
  <c r="H29" i="2"/>
  <c r="AA361" i="3"/>
  <c r="I2" i="4" s="1"/>
  <c r="H2" i="4"/>
  <c r="M18" i="19" l="1"/>
  <c r="P22" i="20"/>
  <c r="P23" i="20" s="1"/>
  <c r="G73" i="8"/>
  <c r="G26" i="8"/>
  <c r="G27" i="8" s="1"/>
  <c r="G74" i="8"/>
  <c r="P30" i="20"/>
  <c r="D1070" i="13"/>
  <c r="D1075" i="13"/>
  <c r="D1067" i="13"/>
  <c r="D1069" i="13" s="1"/>
  <c r="C1071" i="13"/>
  <c r="C1072" i="13" s="1"/>
  <c r="C1073" i="13" s="1"/>
  <c r="P25" i="20" l="1"/>
  <c r="D1071" i="13"/>
  <c r="D1072" i="13" s="1"/>
  <c r="D1073" i="13" s="1"/>
  <c r="C1081" i="13"/>
  <c r="C1085" i="13" s="1"/>
  <c r="C1082" i="13" l="1"/>
  <c r="C1083" i="13" s="1"/>
  <c r="D1083" i="13" s="1"/>
  <c r="D1082" i="13" s="1"/>
  <c r="D1081" i="13" s="1"/>
  <c r="D1085" i="13" s="1"/>
  <c r="D1052" i="13"/>
  <c r="AN2" i="3"/>
  <c r="AN38" i="3"/>
  <c r="AN36" i="3"/>
  <c r="AN25" i="3"/>
  <c r="AN14" i="3"/>
  <c r="AN7" i="3"/>
  <c r="C1048" i="13"/>
  <c r="C1047" i="13"/>
  <c r="D1048" i="13"/>
  <c r="D1047" i="13"/>
  <c r="C1039" i="13"/>
  <c r="C1046" i="13" s="1"/>
  <c r="D1039" i="13"/>
  <c r="D1046" i="13" s="1"/>
  <c r="D1058" i="13" l="1"/>
  <c r="E1127" i="13" s="1"/>
  <c r="E1128" i="13" s="1"/>
  <c r="D1080" i="13"/>
  <c r="S433" i="3"/>
  <c r="R433" i="3"/>
  <c r="P433" i="3"/>
  <c r="O433" i="3"/>
  <c r="N433" i="3"/>
  <c r="F1052" i="13" l="1"/>
  <c r="S240" i="3"/>
  <c r="S239" i="3"/>
  <c r="B1041" i="13"/>
  <c r="B1053" i="13" s="1"/>
  <c r="B1059" i="13" s="1"/>
  <c r="B1040" i="13"/>
  <c r="B1052" i="13" s="1"/>
  <c r="B1058" i="13" s="1"/>
  <c r="B1039" i="13"/>
  <c r="B1051" i="13" s="1"/>
  <c r="B1057" i="13" s="1"/>
  <c r="G40" i="3"/>
  <c r="M43" i="3"/>
  <c r="M45" i="3" s="1"/>
  <c r="N45" i="3"/>
  <c r="N46" i="3" s="1"/>
  <c r="R43" i="3"/>
  <c r="S45" i="3"/>
  <c r="S46" i="3" s="1"/>
  <c r="L98" i="19"/>
  <c r="AT9" i="19" s="1"/>
  <c r="S19" i="3"/>
  <c r="S107" i="3"/>
  <c r="S230" i="3"/>
  <c r="S214" i="3"/>
  <c r="S199" i="3"/>
  <c r="S210" i="3"/>
  <c r="S209" i="3"/>
  <c r="S366" i="3"/>
  <c r="S365" i="3" s="1"/>
  <c r="S222" i="3"/>
  <c r="S225" i="3"/>
  <c r="T273" i="3"/>
  <c r="I1299" i="13" s="1"/>
  <c r="S254" i="3"/>
  <c r="S246" i="3"/>
  <c r="H1454" i="13" s="1"/>
  <c r="H1455" i="13" s="1"/>
  <c r="S245" i="3"/>
  <c r="S236" i="3"/>
  <c r="E1358" i="13" s="1"/>
  <c r="E1359" i="13" s="1"/>
  <c r="S55" i="3"/>
  <c r="S54" i="3"/>
  <c r="S30" i="3"/>
  <c r="S32" i="3" s="1"/>
  <c r="N75" i="19" s="1"/>
  <c r="S29" i="3"/>
  <c r="S31" i="3" s="1"/>
  <c r="S27" i="3"/>
  <c r="S16" i="3"/>
  <c r="S11" i="3"/>
  <c r="S40" i="3" s="1"/>
  <c r="S83" i="3"/>
  <c r="S74" i="3"/>
  <c r="S63" i="3"/>
  <c r="S48" i="3"/>
  <c r="S6" i="3"/>
  <c r="AS6" i="3" s="1"/>
  <c r="S416" i="3" l="1"/>
  <c r="H1443" i="13"/>
  <c r="N448" i="19"/>
  <c r="R449" i="19" s="1"/>
  <c r="F1366" i="13"/>
  <c r="S213" i="3"/>
  <c r="S454" i="3"/>
  <c r="V346" i="19"/>
  <c r="V343" i="19" s="1"/>
  <c r="X343" i="19" s="1"/>
  <c r="S417" i="3"/>
  <c r="C1166" i="13"/>
  <c r="S84" i="3"/>
  <c r="R45" i="3"/>
  <c r="R46" i="3" s="1"/>
  <c r="U43" i="3"/>
  <c r="U45" i="3" s="1"/>
  <c r="U46" i="3" s="1"/>
  <c r="T21" i="3"/>
  <c r="I1418" i="13" s="1"/>
  <c r="V337" i="19"/>
  <c r="T265" i="3"/>
  <c r="T274" i="3"/>
  <c r="I1300" i="13" s="1"/>
  <c r="T277" i="3"/>
  <c r="S270" i="3"/>
  <c r="T276" i="3" s="1"/>
  <c r="I35" i="19" s="1"/>
  <c r="T356" i="3"/>
  <c r="T357" i="3" s="1"/>
  <c r="N138" i="19"/>
  <c r="O139" i="19" s="1"/>
  <c r="S355" i="3"/>
  <c r="T242" i="3"/>
  <c r="T22" i="3"/>
  <c r="I1419" i="13" s="1"/>
  <c r="S259" i="3"/>
  <c r="H950" i="13"/>
  <c r="C1137" i="13"/>
  <c r="E1058" i="13"/>
  <c r="C1133" i="13"/>
  <c r="C1156" i="13"/>
  <c r="H949" i="13"/>
  <c r="D1043" i="13"/>
  <c r="D1060" i="13" s="1"/>
  <c r="D1054" i="13" s="1"/>
  <c r="N135" i="19"/>
  <c r="S39" i="3"/>
  <c r="N466" i="19" s="1"/>
  <c r="S81" i="3"/>
  <c r="S33" i="3"/>
  <c r="S78" i="3"/>
  <c r="S69" i="3"/>
  <c r="S59" i="3"/>
  <c r="S248" i="3"/>
  <c r="S394" i="3" s="1"/>
  <c r="N459" i="19" s="1"/>
  <c r="S88" i="3"/>
  <c r="S75" i="3"/>
  <c r="S286" i="3"/>
  <c r="S280" i="3" s="1"/>
  <c r="S285" i="3"/>
  <c r="S279" i="3" s="1"/>
  <c r="S72" i="3"/>
  <c r="S218" i="3"/>
  <c r="N134" i="19"/>
  <c r="S53" i="3"/>
  <c r="T56" i="3" s="1"/>
  <c r="S105" i="3"/>
  <c r="S258" i="3"/>
  <c r="S415" i="3" l="1"/>
  <c r="T420" i="3" s="1"/>
  <c r="T425" i="3" s="1"/>
  <c r="T426" i="3" s="1"/>
  <c r="N460" i="19"/>
  <c r="H1448" i="13"/>
  <c r="H1444" i="13"/>
  <c r="O461" i="19"/>
  <c r="T41" i="3"/>
  <c r="O72" i="19" s="1"/>
  <c r="S393" i="3"/>
  <c r="N452" i="19" s="1"/>
  <c r="X346" i="19"/>
  <c r="W348" i="19"/>
  <c r="V380" i="19"/>
  <c r="W347" i="19"/>
  <c r="N136" i="19"/>
  <c r="O137" i="19" s="1"/>
  <c r="V334" i="19"/>
  <c r="X334" i="19" s="1"/>
  <c r="W338" i="19"/>
  <c r="X337" i="19"/>
  <c r="W339" i="19"/>
  <c r="V379" i="19"/>
  <c r="V381" i="19"/>
  <c r="S288" i="3"/>
  <c r="T18" i="3"/>
  <c r="T219" i="3"/>
  <c r="T65" i="3"/>
  <c r="T61" i="3"/>
  <c r="D1131" i="13"/>
  <c r="D1133" i="13"/>
  <c r="D1130" i="13"/>
  <c r="C1132" i="13"/>
  <c r="D1156" i="13"/>
  <c r="C1157" i="13"/>
  <c r="D1157" i="13" s="1"/>
  <c r="C1136" i="13"/>
  <c r="C1144" i="13"/>
  <c r="D1137" i="13"/>
  <c r="N128" i="19"/>
  <c r="N129" i="19"/>
  <c r="S60" i="3"/>
  <c r="N71" i="19" s="1"/>
  <c r="D1057" i="13"/>
  <c r="D1059" i="13" s="1"/>
  <c r="S90" i="3"/>
  <c r="S97" i="3" s="1"/>
  <c r="S261" i="3"/>
  <c r="S227" i="3"/>
  <c r="M59" i="19"/>
  <c r="N130" i="19" l="1"/>
  <c r="S282" i="3"/>
  <c r="R455" i="19"/>
  <c r="R453" i="19"/>
  <c r="N454" i="19"/>
  <c r="O455" i="19"/>
  <c r="W349" i="19"/>
  <c r="N55" i="19"/>
  <c r="I25" i="19"/>
  <c r="T422" i="3"/>
  <c r="T447" i="3" s="1"/>
  <c r="T421" i="3"/>
  <c r="T446" i="3" s="1"/>
  <c r="W340" i="19"/>
  <c r="E728" i="16"/>
  <c r="E730" i="16" s="1"/>
  <c r="J1131" i="13"/>
  <c r="C1151" i="13"/>
  <c r="C1162" i="13" s="1"/>
  <c r="D1132" i="13"/>
  <c r="C1163" i="13"/>
  <c r="C1143" i="13"/>
  <c r="D1136" i="13"/>
  <c r="D1144" i="13"/>
  <c r="C1150" i="13"/>
  <c r="C1161" i="13" s="1"/>
  <c r="S99" i="3"/>
  <c r="H19" i="19" s="1"/>
  <c r="S93" i="3"/>
  <c r="O12" i="20"/>
  <c r="O9" i="20"/>
  <c r="N9" i="20"/>
  <c r="N12" i="20"/>
  <c r="M412" i="19"/>
  <c r="M417" i="19" s="1"/>
  <c r="K412" i="19"/>
  <c r="K417" i="19" s="1"/>
  <c r="J412" i="19"/>
  <c r="J417" i="19" s="1"/>
  <c r="I412" i="19"/>
  <c r="I417" i="19" s="1"/>
  <c r="H412" i="19"/>
  <c r="H417" i="19" s="1"/>
  <c r="G412" i="19"/>
  <c r="G417" i="19" s="1"/>
  <c r="M410" i="19"/>
  <c r="B410" i="19"/>
  <c r="B415" i="19" s="1"/>
  <c r="M409" i="19"/>
  <c r="M414" i="19" s="1"/>
  <c r="M419" i="19" s="1"/>
  <c r="B409" i="19"/>
  <c r="B414" i="19" s="1"/>
  <c r="B419" i="19" s="1"/>
  <c r="M406" i="19"/>
  <c r="K406" i="19"/>
  <c r="J406" i="19"/>
  <c r="I406" i="19"/>
  <c r="H406" i="19"/>
  <c r="G406" i="19"/>
  <c r="F406" i="19"/>
  <c r="E406" i="19"/>
  <c r="D406" i="19"/>
  <c r="C406" i="19"/>
  <c r="M398" i="19"/>
  <c r="M395" i="19"/>
  <c r="B395" i="19"/>
  <c r="M394" i="19"/>
  <c r="B394" i="19"/>
  <c r="M393" i="19"/>
  <c r="M403" i="19" s="1"/>
  <c r="M408" i="19" s="1"/>
  <c r="M413" i="19" s="1"/>
  <c r="K393" i="19"/>
  <c r="K403" i="19" s="1"/>
  <c r="K408" i="19" s="1"/>
  <c r="K413" i="19" s="1"/>
  <c r="J393" i="19"/>
  <c r="J403" i="19" s="1"/>
  <c r="J408" i="19" s="1"/>
  <c r="J413" i="19" s="1"/>
  <c r="I393" i="19"/>
  <c r="I403" i="19" s="1"/>
  <c r="I408" i="19" s="1"/>
  <c r="I413" i="19" s="1"/>
  <c r="H393" i="19"/>
  <c r="H403" i="19" s="1"/>
  <c r="H408" i="19" s="1"/>
  <c r="H413" i="19" s="1"/>
  <c r="G393" i="19"/>
  <c r="G403" i="19" s="1"/>
  <c r="G408" i="19" s="1"/>
  <c r="G413" i="19" s="1"/>
  <c r="F393" i="19"/>
  <c r="F403" i="19" s="1"/>
  <c r="F408" i="19" s="1"/>
  <c r="F413" i="19" s="1"/>
  <c r="E393" i="19"/>
  <c r="E403" i="19" s="1"/>
  <c r="E408" i="19" s="1"/>
  <c r="E413" i="19" s="1"/>
  <c r="D393" i="19"/>
  <c r="D403" i="19" s="1"/>
  <c r="D408" i="19" s="1"/>
  <c r="D413" i="19" s="1"/>
  <c r="C393" i="19"/>
  <c r="C403" i="19" s="1"/>
  <c r="C408" i="19" s="1"/>
  <c r="C413" i="19" s="1"/>
  <c r="I45" i="19"/>
  <c r="J46" i="19" s="1"/>
  <c r="I44" i="19"/>
  <c r="C101" i="19"/>
  <c r="C98" i="19"/>
  <c r="C90" i="19"/>
  <c r="C89" i="19"/>
  <c r="C81" i="19"/>
  <c r="C82" i="19" s="1"/>
  <c r="L101" i="19"/>
  <c r="L91" i="19"/>
  <c r="L90" i="19"/>
  <c r="H1381" i="13" s="1"/>
  <c r="L89" i="19"/>
  <c r="H1380" i="13" s="1"/>
  <c r="L86" i="19"/>
  <c r="L83" i="19"/>
  <c r="M84" i="19" s="1"/>
  <c r="L81" i="19"/>
  <c r="M82" i="19" s="1"/>
  <c r="H34" i="19"/>
  <c r="U34" i="19" s="1"/>
  <c r="H31" i="19"/>
  <c r="U31" i="19" s="1"/>
  <c r="H28" i="19"/>
  <c r="U28" i="19" s="1"/>
  <c r="H22" i="19"/>
  <c r="U22" i="19" s="1"/>
  <c r="H14" i="19"/>
  <c r="U14" i="19" s="1"/>
  <c r="H13" i="19"/>
  <c r="U13" i="19" s="1"/>
  <c r="H12" i="19"/>
  <c r="U12" i="19" s="1"/>
  <c r="H10" i="19"/>
  <c r="U10" i="19" s="1"/>
  <c r="H9" i="19"/>
  <c r="U9" i="19" s="1"/>
  <c r="H7" i="19"/>
  <c r="U7" i="19" s="1"/>
  <c r="H6" i="19"/>
  <c r="U6" i="19" s="1"/>
  <c r="H4" i="19"/>
  <c r="U4" i="19" s="1"/>
  <c r="AM2" i="3"/>
  <c r="AM38" i="3"/>
  <c r="AM36" i="3"/>
  <c r="AM25" i="3"/>
  <c r="AM14" i="3"/>
  <c r="AM7" i="3"/>
  <c r="F1370" i="13" l="1"/>
  <c r="T445" i="3"/>
  <c r="O30" i="20"/>
  <c r="F1058" i="13"/>
  <c r="S110" i="3"/>
  <c r="S100" i="3"/>
  <c r="H20" i="19" s="1"/>
  <c r="D1161" i="13"/>
  <c r="D1143" i="13"/>
  <c r="C1149" i="13"/>
  <c r="D1163" i="13"/>
  <c r="C1167" i="13"/>
  <c r="D1162" i="13"/>
  <c r="S101" i="3"/>
  <c r="D1053" i="13"/>
  <c r="F1053" i="13" s="1"/>
  <c r="M396" i="19"/>
  <c r="M399" i="19"/>
  <c r="M400" i="19" s="1"/>
  <c r="M401" i="19" s="1"/>
  <c r="H21" i="19"/>
  <c r="U21" i="19" s="1"/>
  <c r="N30" i="20"/>
  <c r="O22" i="20"/>
  <c r="N22" i="20"/>
  <c r="M411" i="19"/>
  <c r="M415" i="19"/>
  <c r="M416" i="19" s="1"/>
  <c r="H15" i="19"/>
  <c r="H23" i="19"/>
  <c r="U23" i="19" s="1"/>
  <c r="H63" i="3"/>
  <c r="C409" i="19" s="1"/>
  <c r="C414" i="19" s="1"/>
  <c r="C419" i="19" s="1"/>
  <c r="H6" i="3"/>
  <c r="O199" i="3"/>
  <c r="P199" i="3"/>
  <c r="R199" i="3"/>
  <c r="K210" i="3"/>
  <c r="J210" i="3"/>
  <c r="G210" i="3"/>
  <c r="F210" i="3"/>
  <c r="P210" i="3"/>
  <c r="O210" i="3"/>
  <c r="N210" i="3"/>
  <c r="M210" i="3"/>
  <c r="R210" i="3"/>
  <c r="B206" i="3"/>
  <c r="B205" i="3"/>
  <c r="B204" i="3"/>
  <c r="L38" i="2"/>
  <c r="M38" i="2" s="1"/>
  <c r="N38" i="2" s="1"/>
  <c r="O38" i="2" s="1"/>
  <c r="G60" i="2"/>
  <c r="R111" i="3"/>
  <c r="N23" i="20" l="1"/>
  <c r="C1160" i="13"/>
  <c r="D1160" i="13" s="1"/>
  <c r="C1152" i="13"/>
  <c r="O25" i="20"/>
  <c r="O23" i="20"/>
  <c r="N25" i="20"/>
  <c r="N227" i="3"/>
  <c r="K227" i="3"/>
  <c r="I227" i="3"/>
  <c r="H227" i="3"/>
  <c r="H44" i="19"/>
  <c r="K98" i="19"/>
  <c r="AS9" i="19" s="1"/>
  <c r="R372" i="3"/>
  <c r="R370" i="3"/>
  <c r="R373" i="3" s="1"/>
  <c r="R366" i="3"/>
  <c r="R254" i="3"/>
  <c r="S274" i="3"/>
  <c r="H1300" i="13" s="1"/>
  <c r="R246" i="3"/>
  <c r="G1454" i="13" s="1"/>
  <c r="G1455" i="13" s="1"/>
  <c r="R245" i="3"/>
  <c r="G1443" i="13" s="1"/>
  <c r="R240" i="3"/>
  <c r="R239" i="3"/>
  <c r="R230" i="3"/>
  <c r="R222" i="3"/>
  <c r="K398" i="19" s="1"/>
  <c r="R236" i="3"/>
  <c r="D1358" i="13" s="1"/>
  <c r="D1359" i="13" s="1"/>
  <c r="R214" i="3"/>
  <c r="R209" i="3"/>
  <c r="R107" i="3"/>
  <c r="R83" i="3"/>
  <c r="R48" i="3"/>
  <c r="R16" i="3"/>
  <c r="R19" i="3"/>
  <c r="K59" i="19" s="1"/>
  <c r="K101" i="19"/>
  <c r="K90" i="19"/>
  <c r="G1381" i="13" s="1"/>
  <c r="K89" i="19"/>
  <c r="G1380" i="13" s="1"/>
  <c r="K86" i="19"/>
  <c r="K83" i="19"/>
  <c r="L84" i="19" s="1"/>
  <c r="K81" i="19"/>
  <c r="L82" i="19" s="1"/>
  <c r="R74" i="3"/>
  <c r="R63" i="3"/>
  <c r="K409" i="19" s="1"/>
  <c r="K414" i="19" s="1"/>
  <c r="K419" i="19" s="1"/>
  <c r="R55" i="3"/>
  <c r="R54" i="3"/>
  <c r="R27" i="3"/>
  <c r="R11" i="3"/>
  <c r="R40" i="3" s="1"/>
  <c r="R6" i="3"/>
  <c r="R454" i="3" s="1"/>
  <c r="G28" i="19"/>
  <c r="G22" i="19"/>
  <c r="G13" i="19"/>
  <c r="G12" i="19"/>
  <c r="T12" i="19" s="1"/>
  <c r="G9" i="19"/>
  <c r="G7" i="19"/>
  <c r="G6" i="19"/>
  <c r="D3" i="15"/>
  <c r="E3" i="15" s="1"/>
  <c r="F3" i="15" s="1"/>
  <c r="G1444" i="13" l="1"/>
  <c r="G1448" i="13"/>
  <c r="M448" i="19"/>
  <c r="E1366" i="13"/>
  <c r="S337" i="19"/>
  <c r="S334" i="19" s="1"/>
  <c r="U334" i="19" s="1"/>
  <c r="R416" i="3"/>
  <c r="S346" i="19"/>
  <c r="S380" i="19" s="1"/>
  <c r="R417" i="3"/>
  <c r="K410" i="19"/>
  <c r="K415" i="19" s="1"/>
  <c r="K416" i="19" s="1"/>
  <c r="R84" i="3"/>
  <c r="R365" i="3"/>
  <c r="S356" i="3"/>
  <c r="S357" i="3" s="1"/>
  <c r="M138" i="19"/>
  <c r="G950" i="13"/>
  <c r="G949" i="13"/>
  <c r="C1043" i="13"/>
  <c r="M134" i="19"/>
  <c r="S273" i="3"/>
  <c r="H1299" i="13" s="1"/>
  <c r="R218" i="3"/>
  <c r="S65" i="3" s="1"/>
  <c r="S242" i="3"/>
  <c r="R258" i="3"/>
  <c r="S21" i="3"/>
  <c r="H1418" i="13" s="1"/>
  <c r="R259" i="3"/>
  <c r="S22" i="3"/>
  <c r="H1419" i="13" s="1"/>
  <c r="M135" i="19"/>
  <c r="S277" i="3"/>
  <c r="S265" i="3"/>
  <c r="G10" i="19"/>
  <c r="R53" i="3"/>
  <c r="R88" i="3"/>
  <c r="H45" i="19"/>
  <c r="K91" i="19"/>
  <c r="R356" i="3"/>
  <c r="R357" i="3" s="1"/>
  <c r="R213" i="3"/>
  <c r="R39" i="3"/>
  <c r="M466" i="19" s="1"/>
  <c r="R105" i="3"/>
  <c r="R81" i="3"/>
  <c r="R78" i="3"/>
  <c r="R270" i="3"/>
  <c r="S276" i="3" s="1"/>
  <c r="H35" i="19" s="1"/>
  <c r="R355" i="3"/>
  <c r="R375" i="3"/>
  <c r="R248" i="3"/>
  <c r="R394" i="3" s="1"/>
  <c r="M459" i="19" s="1"/>
  <c r="R285" i="3"/>
  <c r="R286" i="3"/>
  <c r="G4" i="19"/>
  <c r="R59" i="3"/>
  <c r="R33" i="3"/>
  <c r="R69" i="3"/>
  <c r="R72" i="3"/>
  <c r="R75" i="3"/>
  <c r="D1019" i="13"/>
  <c r="D1022" i="13" s="1"/>
  <c r="C1019" i="13"/>
  <c r="C1001" i="13"/>
  <c r="C1002" i="13" s="1"/>
  <c r="C1003" i="13" s="1"/>
  <c r="C983" i="13"/>
  <c r="C984" i="13" s="1"/>
  <c r="C985" i="13" s="1"/>
  <c r="F958" i="13"/>
  <c r="E958" i="13"/>
  <c r="D958" i="13"/>
  <c r="C958" i="13"/>
  <c r="P107" i="3"/>
  <c r="F959" i="13" s="1"/>
  <c r="O107" i="3"/>
  <c r="E959" i="13" s="1"/>
  <c r="N107" i="3"/>
  <c r="D959" i="13" s="1"/>
  <c r="M107" i="3"/>
  <c r="C959" i="13" s="1"/>
  <c r="K107" i="3"/>
  <c r="M460" i="19" l="1"/>
  <c r="K395" i="19"/>
  <c r="K399" i="19" s="1"/>
  <c r="R280" i="3"/>
  <c r="K394" i="19"/>
  <c r="R279" i="3"/>
  <c r="N461" i="19"/>
  <c r="S18" i="3"/>
  <c r="M55" i="19" s="1"/>
  <c r="R393" i="3"/>
  <c r="M452" i="19" s="1"/>
  <c r="U346" i="19"/>
  <c r="S381" i="19"/>
  <c r="S343" i="19"/>
  <c r="U343" i="19" s="1"/>
  <c r="S379" i="19"/>
  <c r="T339" i="19"/>
  <c r="U337" i="19"/>
  <c r="T338" i="19"/>
  <c r="T347" i="19"/>
  <c r="K411" i="19"/>
  <c r="T348" i="19"/>
  <c r="R415" i="3"/>
  <c r="S219" i="3"/>
  <c r="G31" i="19"/>
  <c r="S61" i="3"/>
  <c r="R227" i="3"/>
  <c r="R56" i="3"/>
  <c r="S56" i="3"/>
  <c r="R41" i="3"/>
  <c r="S41" i="3"/>
  <c r="N72" i="19" s="1"/>
  <c r="M129" i="19"/>
  <c r="M128" i="19"/>
  <c r="C1020" i="13"/>
  <c r="C1021" i="13" s="1"/>
  <c r="G34" i="19"/>
  <c r="M136" i="19"/>
  <c r="R90" i="3"/>
  <c r="R97" i="3" s="1"/>
  <c r="R288" i="3"/>
  <c r="R282" i="3" s="1"/>
  <c r="R261" i="3"/>
  <c r="G23" i="19"/>
  <c r="G14" i="19"/>
  <c r="R60" i="3"/>
  <c r="M71" i="19" s="1"/>
  <c r="N948" i="13"/>
  <c r="N955" i="13" s="1"/>
  <c r="M948" i="13"/>
  <c r="M955" i="13" s="1"/>
  <c r="L948" i="13"/>
  <c r="L955" i="13" s="1"/>
  <c r="K948" i="13"/>
  <c r="K955" i="13" s="1"/>
  <c r="B951" i="13"/>
  <c r="B950" i="13"/>
  <c r="B949" i="13"/>
  <c r="J948" i="13"/>
  <c r="J955" i="13" s="1"/>
  <c r="I948" i="13"/>
  <c r="I955" i="13" s="1"/>
  <c r="F948" i="13"/>
  <c r="F955" i="13" s="1"/>
  <c r="E948" i="13"/>
  <c r="E955" i="13" s="1"/>
  <c r="D948" i="13"/>
  <c r="D955" i="13" s="1"/>
  <c r="C948" i="13"/>
  <c r="C955" i="13" s="1"/>
  <c r="P10" i="19"/>
  <c r="Y74" i="3"/>
  <c r="W74" i="3"/>
  <c r="K73" i="3"/>
  <c r="K74" i="3" s="1"/>
  <c r="AK2" i="3"/>
  <c r="H40" i="8"/>
  <c r="B258" i="3"/>
  <c r="B259" i="3"/>
  <c r="B260" i="3"/>
  <c r="K396" i="19" l="1"/>
  <c r="K400" i="19"/>
  <c r="K401" i="19" s="1"/>
  <c r="E1370" i="13"/>
  <c r="M454" i="19"/>
  <c r="N455" i="19"/>
  <c r="T340" i="19"/>
  <c r="T349" i="19"/>
  <c r="S420" i="3"/>
  <c r="S425" i="3" s="1"/>
  <c r="S426" i="3" s="1"/>
  <c r="M130" i="19"/>
  <c r="D728" i="16"/>
  <c r="D730" i="16" s="1"/>
  <c r="R99" i="3"/>
  <c r="G956" i="13" s="1"/>
  <c r="R93" i="3"/>
  <c r="G15" i="19"/>
  <c r="I951" i="13"/>
  <c r="D336" i="16"/>
  <c r="C337" i="16"/>
  <c r="E330" i="16"/>
  <c r="D329" i="16"/>
  <c r="D327" i="16"/>
  <c r="D337" i="16" s="1"/>
  <c r="D330" i="16"/>
  <c r="O230" i="3"/>
  <c r="N230" i="3"/>
  <c r="M230" i="3"/>
  <c r="J229" i="3"/>
  <c r="J230" i="3" s="1"/>
  <c r="L229" i="3"/>
  <c r="K229" i="3" s="1"/>
  <c r="K230" i="3" s="1"/>
  <c r="Q229" i="3"/>
  <c r="S12" i="3" s="1"/>
  <c r="K209" i="3"/>
  <c r="P209" i="3"/>
  <c r="O209" i="3"/>
  <c r="N209" i="3"/>
  <c r="M209" i="3"/>
  <c r="I40" i="8"/>
  <c r="H229" i="10"/>
  <c r="Y428" i="3"/>
  <c r="W428" i="3"/>
  <c r="S421" i="3" l="1"/>
  <c r="S446" i="3" s="1"/>
  <c r="S422" i="3"/>
  <c r="S447" i="3" s="1"/>
  <c r="R110" i="3"/>
  <c r="P229" i="3"/>
  <c r="R101" i="3"/>
  <c r="G19" i="19"/>
  <c r="R100" i="3"/>
  <c r="G20" i="19" s="1"/>
  <c r="K29" i="2"/>
  <c r="L29" i="2" s="1"/>
  <c r="M29" i="2" s="1"/>
  <c r="N29" i="2" s="1"/>
  <c r="O29" i="2" s="1"/>
  <c r="D338" i="16"/>
  <c r="D339" i="16" s="1"/>
  <c r="C17" i="8"/>
  <c r="I126" i="10"/>
  <c r="W437" i="3"/>
  <c r="Y372" i="3"/>
  <c r="W372" i="3"/>
  <c r="Z370" i="3"/>
  <c r="Y370" i="3"/>
  <c r="Y373" i="3" s="1"/>
  <c r="W370" i="3"/>
  <c r="W373" i="3" s="1"/>
  <c r="Y83" i="3"/>
  <c r="W83" i="3"/>
  <c r="K16" i="19" s="1"/>
  <c r="Y14" i="3"/>
  <c r="M7" i="19" s="1"/>
  <c r="AA370" i="3"/>
  <c r="AA94" i="3"/>
  <c r="Z94" i="3" s="1"/>
  <c r="AA86" i="3"/>
  <c r="Z86" i="3" s="1"/>
  <c r="AA80" i="3"/>
  <c r="Z80" i="3" s="1"/>
  <c r="J40" i="8"/>
  <c r="K40" i="8" s="1"/>
  <c r="L40" i="8" s="1"/>
  <c r="M40" i="8" s="1"/>
  <c r="N40" i="8" s="1"/>
  <c r="H915" i="13"/>
  <c r="G915" i="13"/>
  <c r="N16" i="3"/>
  <c r="O16" i="3"/>
  <c r="I16" i="3"/>
  <c r="J16" i="3"/>
  <c r="H15" i="3"/>
  <c r="H16" i="3" s="1"/>
  <c r="M15" i="3"/>
  <c r="M16" i="3" s="1"/>
  <c r="V27" i="3"/>
  <c r="F72" i="8"/>
  <c r="F74" i="8" s="1"/>
  <c r="G75" i="8" s="1"/>
  <c r="H44" i="8"/>
  <c r="I44" i="8" s="1"/>
  <c r="J44" i="8" s="1"/>
  <c r="K44" i="8" s="1"/>
  <c r="L44" i="8" s="1"/>
  <c r="M44" i="8" s="1"/>
  <c r="N44" i="8" s="1"/>
  <c r="H41" i="8"/>
  <c r="I41" i="8" s="1"/>
  <c r="J41" i="8" s="1"/>
  <c r="K41" i="8" s="1"/>
  <c r="L41" i="8" s="1"/>
  <c r="M41" i="8" s="1"/>
  <c r="N41" i="8" s="1"/>
  <c r="O6" i="3"/>
  <c r="AO6" i="3" s="1"/>
  <c r="N6" i="3"/>
  <c r="AN6" i="3" s="1"/>
  <c r="M6" i="3"/>
  <c r="AM6" i="3" s="1"/>
  <c r="K6" i="3"/>
  <c r="K75" i="3" s="1"/>
  <c r="J6" i="3"/>
  <c r="I6" i="3"/>
  <c r="P382" i="3"/>
  <c r="P381" i="3"/>
  <c r="P380" i="3"/>
  <c r="P379" i="3"/>
  <c r="P378" i="3"/>
  <c r="P372" i="3"/>
  <c r="P370" i="3"/>
  <c r="P373" i="3" s="1"/>
  <c r="A61" i="10"/>
  <c r="A59" i="10"/>
  <c r="G14" i="21"/>
  <c r="G11" i="21"/>
  <c r="G28" i="21" s="1"/>
  <c r="G3" i="21"/>
  <c r="G20" i="21" s="1"/>
  <c r="G7" i="21"/>
  <c r="G24" i="21" s="1"/>
  <c r="F25" i="8"/>
  <c r="E22" i="8"/>
  <c r="F22" i="8"/>
  <c r="G23" i="8" s="1"/>
  <c r="F78" i="8"/>
  <c r="G10" i="2" s="1"/>
  <c r="E12" i="2"/>
  <c r="F12" i="2"/>
  <c r="G12" i="2"/>
  <c r="G197" i="2"/>
  <c r="E193" i="2"/>
  <c r="F193" i="2"/>
  <c r="G193" i="2"/>
  <c r="I213" i="10"/>
  <c r="J213" i="10" s="1"/>
  <c r="K213" i="10" s="1"/>
  <c r="L213" i="10" s="1"/>
  <c r="M213" i="10" s="1"/>
  <c r="N213" i="10" s="1"/>
  <c r="O213" i="10" s="1"/>
  <c r="G268" i="10"/>
  <c r="I200" i="10"/>
  <c r="J200" i="10" s="1"/>
  <c r="K200" i="10" s="1"/>
  <c r="L200" i="10" s="1"/>
  <c r="M200" i="10" s="1"/>
  <c r="N200" i="10" s="1"/>
  <c r="O200" i="10" s="1"/>
  <c r="I199" i="10"/>
  <c r="G196" i="10"/>
  <c r="F196" i="10"/>
  <c r="E196" i="10"/>
  <c r="D196" i="10"/>
  <c r="C196" i="10"/>
  <c r="G195" i="10"/>
  <c r="F195" i="10"/>
  <c r="E195" i="10"/>
  <c r="D195" i="10"/>
  <c r="C195" i="10"/>
  <c r="G198" i="10"/>
  <c r="G194" i="10" s="1"/>
  <c r="F198" i="10"/>
  <c r="F194" i="10" s="1"/>
  <c r="E198" i="10"/>
  <c r="E194" i="10" s="1"/>
  <c r="D198" i="10"/>
  <c r="D194" i="10" s="1"/>
  <c r="C198" i="10"/>
  <c r="C194" i="10" s="1"/>
  <c r="F33" i="8"/>
  <c r="P366" i="3" s="1"/>
  <c r="P367" i="3" s="1"/>
  <c r="E33" i="8"/>
  <c r="D33" i="8"/>
  <c r="D178" i="10"/>
  <c r="C178" i="10"/>
  <c r="F144" i="10"/>
  <c r="E149" i="10"/>
  <c r="E148" i="10" s="1"/>
  <c r="G33" i="10"/>
  <c r="G144" i="10" s="1"/>
  <c r="G30" i="10"/>
  <c r="F19" i="10"/>
  <c r="E19" i="10"/>
  <c r="D19" i="10"/>
  <c r="C19" i="10"/>
  <c r="G19" i="10"/>
  <c r="G8" i="10"/>
  <c r="F8" i="10"/>
  <c r="E8" i="10"/>
  <c r="G20" i="10"/>
  <c r="G14" i="10"/>
  <c r="E194" i="2"/>
  <c r="D17" i="8" s="1"/>
  <c r="F194" i="2"/>
  <c r="D25" i="8"/>
  <c r="J22" i="3"/>
  <c r="I22" i="3"/>
  <c r="H22" i="3"/>
  <c r="J21" i="3"/>
  <c r="I21" i="3"/>
  <c r="H21" i="3"/>
  <c r="I19" i="3"/>
  <c r="M11" i="3"/>
  <c r="M40" i="3" s="1"/>
  <c r="H11" i="3"/>
  <c r="H40" i="3" s="1"/>
  <c r="N11" i="3"/>
  <c r="N40" i="3" s="1"/>
  <c r="I11" i="3"/>
  <c r="I40" i="3" s="1"/>
  <c r="J11" i="3"/>
  <c r="J40" i="3" s="1"/>
  <c r="O11" i="3"/>
  <c r="K9" i="3"/>
  <c r="P9" i="3"/>
  <c r="K8" i="3"/>
  <c r="P8" i="3"/>
  <c r="M16" i="19" l="1"/>
  <c r="Y365" i="3"/>
  <c r="Y366" i="3" s="1"/>
  <c r="Y375" i="3" s="1"/>
  <c r="S445" i="3"/>
  <c r="W365" i="3"/>
  <c r="W366" i="3" s="1"/>
  <c r="W375" i="3" s="1"/>
  <c r="K7" i="19"/>
  <c r="J126" i="10"/>
  <c r="K126" i="10" s="1"/>
  <c r="L126" i="10" s="1"/>
  <c r="M126" i="10" s="1"/>
  <c r="N126" i="10" s="1"/>
  <c r="O126" i="10" s="1"/>
  <c r="O12" i="3"/>
  <c r="O40" i="3"/>
  <c r="P230" i="3"/>
  <c r="R12" i="3"/>
  <c r="G21" i="19"/>
  <c r="E17" i="8"/>
  <c r="G29" i="21"/>
  <c r="G25" i="21"/>
  <c r="G15" i="21"/>
  <c r="Z427" i="3"/>
  <c r="Z437" i="3" s="1"/>
  <c r="Y437" i="3"/>
  <c r="W55" i="3"/>
  <c r="Y55" i="3"/>
  <c r="K15" i="3"/>
  <c r="K16" i="3" s="1"/>
  <c r="P15" i="3"/>
  <c r="P352" i="3" s="1"/>
  <c r="P349" i="3" s="1"/>
  <c r="P350" i="3" s="1"/>
  <c r="P375" i="3"/>
  <c r="G21" i="21"/>
  <c r="H22" i="21" s="1"/>
  <c r="G31" i="21"/>
  <c r="G32" i="21" s="1"/>
  <c r="P365" i="3"/>
  <c r="E152" i="10"/>
  <c r="E151" i="10" s="1"/>
  <c r="M175" i="10"/>
  <c r="N175" i="10" s="1"/>
  <c r="O175" i="10" s="1"/>
  <c r="J199" i="10"/>
  <c r="I198" i="10"/>
  <c r="H198" i="10"/>
  <c r="G23" i="10"/>
  <c r="G168" i="10" s="1"/>
  <c r="H169" i="10" s="1"/>
  <c r="I20" i="10"/>
  <c r="J20" i="10" s="1"/>
  <c r="G21" i="10"/>
  <c r="G22" i="10"/>
  <c r="K11" i="3"/>
  <c r="K40" i="3" s="1"/>
  <c r="C46" i="8"/>
  <c r="C64" i="8" s="1"/>
  <c r="D46" i="8"/>
  <c r="E46" i="8"/>
  <c r="F46" i="8"/>
  <c r="A46" i="8"/>
  <c r="F38" i="8"/>
  <c r="F23" i="8"/>
  <c r="I149" i="2"/>
  <c r="J149" i="2" s="1"/>
  <c r="K149" i="2" s="1"/>
  <c r="L149" i="2" s="1"/>
  <c r="M149" i="2" s="1"/>
  <c r="N149" i="2" s="1"/>
  <c r="O149" i="2" s="1"/>
  <c r="G31" i="2"/>
  <c r="F31" i="2"/>
  <c r="G173" i="2"/>
  <c r="F173" i="2"/>
  <c r="Q337" i="19"/>
  <c r="Q334" i="19" s="1"/>
  <c r="P245" i="3"/>
  <c r="F1443" i="13" s="1"/>
  <c r="P222" i="3"/>
  <c r="J398" i="19" s="1"/>
  <c r="P77" i="3"/>
  <c r="P94" i="3"/>
  <c r="P92" i="3"/>
  <c r="P80" i="3"/>
  <c r="P73" i="3"/>
  <c r="M74" i="3"/>
  <c r="H74" i="3"/>
  <c r="P71" i="3"/>
  <c r="P68" i="3"/>
  <c r="P38" i="3"/>
  <c r="AP38" i="3" s="1"/>
  <c r="P7" i="3"/>
  <c r="AP7" i="3" s="1"/>
  <c r="P25" i="3"/>
  <c r="P36" i="3"/>
  <c r="P14" i="3"/>
  <c r="P214" i="3"/>
  <c r="G44" i="19"/>
  <c r="P365" i="19"/>
  <c r="P364" i="19"/>
  <c r="P370" i="19"/>
  <c r="P369" i="19"/>
  <c r="Q346" i="19"/>
  <c r="P363" i="19"/>
  <c r="P361" i="19"/>
  <c r="R345" i="19"/>
  <c r="R344" i="19"/>
  <c r="R336" i="19"/>
  <c r="R335" i="19"/>
  <c r="I74" i="3"/>
  <c r="J74" i="3"/>
  <c r="N74" i="3"/>
  <c r="Q92" i="3"/>
  <c r="O74" i="3"/>
  <c r="P236" i="3"/>
  <c r="K138" i="19" s="1"/>
  <c r="P240" i="3"/>
  <c r="P239" i="3"/>
  <c r="O240" i="3"/>
  <c r="P246" i="3"/>
  <c r="P254" i="3"/>
  <c r="P268" i="3"/>
  <c r="P267" i="3"/>
  <c r="J101" i="19"/>
  <c r="J98" i="19"/>
  <c r="AR9" i="19" s="1"/>
  <c r="J90" i="19"/>
  <c r="F1381" i="13" s="1"/>
  <c r="J89" i="19"/>
  <c r="F1380" i="13" s="1"/>
  <c r="J86" i="19"/>
  <c r="J83" i="19"/>
  <c r="K84" i="19" s="1"/>
  <c r="J81" i="19"/>
  <c r="K82" i="19" s="1"/>
  <c r="I30" i="3"/>
  <c r="I32" i="3" s="1"/>
  <c r="E75" i="19" s="1"/>
  <c r="J30" i="3"/>
  <c r="J32" i="3" s="1"/>
  <c r="F75" i="19" s="1"/>
  <c r="N30" i="3"/>
  <c r="N32" i="3" s="1"/>
  <c r="I75" i="19" s="1"/>
  <c r="O30" i="3"/>
  <c r="O32" i="3" s="1"/>
  <c r="J75" i="19" s="1"/>
  <c r="I27" i="3"/>
  <c r="H26" i="3"/>
  <c r="H27" i="3" s="1"/>
  <c r="M26" i="3"/>
  <c r="M27" i="3" s="1"/>
  <c r="N27" i="3"/>
  <c r="J27" i="3"/>
  <c r="O27" i="3"/>
  <c r="C9" i="19"/>
  <c r="F1454" i="13" l="1"/>
  <c r="F1455" i="13" s="1"/>
  <c r="G50" i="10"/>
  <c r="C1522" i="13" s="1"/>
  <c r="F1448" i="13"/>
  <c r="F1444" i="13"/>
  <c r="L448" i="19"/>
  <c r="P449" i="19" s="1"/>
  <c r="D1366" i="13"/>
  <c r="G1367" i="13" s="1"/>
  <c r="G1368" i="13" s="1"/>
  <c r="Y367" i="3"/>
  <c r="W367" i="3"/>
  <c r="R22" i="3"/>
  <c r="G1419" i="13" s="1"/>
  <c r="F92" i="8"/>
  <c r="R21" i="3"/>
  <c r="G1418" i="13" s="1"/>
  <c r="F91" i="8"/>
  <c r="T7" i="19"/>
  <c r="AK14" i="3"/>
  <c r="AP14" i="3"/>
  <c r="AK36" i="3"/>
  <c r="AP36" i="3"/>
  <c r="P373" i="19"/>
  <c r="P378" i="19"/>
  <c r="P96" i="3"/>
  <c r="G45" i="19"/>
  <c r="AK38" i="3"/>
  <c r="R273" i="3"/>
  <c r="G1299" i="13" s="1"/>
  <c r="P270" i="3"/>
  <c r="U271" i="3" s="1"/>
  <c r="R242" i="3"/>
  <c r="R274" i="3"/>
  <c r="G1300" i="13" s="1"/>
  <c r="R265" i="3"/>
  <c r="R277" i="3"/>
  <c r="P74" i="3"/>
  <c r="P258" i="3"/>
  <c r="F949" i="13"/>
  <c r="P259" i="3"/>
  <c r="F950" i="13"/>
  <c r="F9" i="19"/>
  <c r="AK25" i="3"/>
  <c r="P54" i="3"/>
  <c r="AK7" i="3"/>
  <c r="P11" i="3"/>
  <c r="P12" i="3" s="1"/>
  <c r="P6" i="3"/>
  <c r="K135" i="19"/>
  <c r="K134" i="19"/>
  <c r="P55" i="3"/>
  <c r="P16" i="3"/>
  <c r="P416" i="3"/>
  <c r="G52" i="10"/>
  <c r="P337" i="19"/>
  <c r="P334" i="19" s="1"/>
  <c r="P355" i="3"/>
  <c r="P453" i="3"/>
  <c r="P286" i="3"/>
  <c r="P417" i="3"/>
  <c r="D64" i="8"/>
  <c r="J198" i="10"/>
  <c r="K199" i="10"/>
  <c r="G27" i="10"/>
  <c r="G265" i="10" s="1"/>
  <c r="G266" i="10" s="1"/>
  <c r="G26" i="10"/>
  <c r="G241" i="10" s="1"/>
  <c r="G242" i="10" s="1"/>
  <c r="G137" i="10"/>
  <c r="G25" i="10"/>
  <c r="G209" i="10" s="1"/>
  <c r="G210" i="10" s="1"/>
  <c r="G217" i="10" s="1"/>
  <c r="G84" i="10"/>
  <c r="P83" i="3"/>
  <c r="P26" i="3"/>
  <c r="P218" i="3"/>
  <c r="P227" i="3" s="1"/>
  <c r="P19" i="3"/>
  <c r="J59" i="19" s="1"/>
  <c r="P63" i="3"/>
  <c r="J409" i="19" s="1"/>
  <c r="J414" i="19" s="1"/>
  <c r="J419" i="19" s="1"/>
  <c r="P346" i="19"/>
  <c r="P343" i="19" s="1"/>
  <c r="P248" i="3"/>
  <c r="P48" i="3"/>
  <c r="P29" i="3"/>
  <c r="P31" i="3" s="1"/>
  <c r="P225" i="3"/>
  <c r="P366" i="19"/>
  <c r="Q343" i="19"/>
  <c r="P371" i="19"/>
  <c r="J91" i="19"/>
  <c r="P285" i="3"/>
  <c r="K26" i="3"/>
  <c r="C28" i="19"/>
  <c r="C22" i="19"/>
  <c r="C13" i="19"/>
  <c r="C12" i="19"/>
  <c r="C7" i="19"/>
  <c r="C6" i="19"/>
  <c r="D31" i="19"/>
  <c r="D28" i="19"/>
  <c r="D22" i="19"/>
  <c r="D13" i="19"/>
  <c r="D12" i="19"/>
  <c r="D9" i="19"/>
  <c r="D7" i="19"/>
  <c r="D6" i="19"/>
  <c r="E28" i="19"/>
  <c r="E22" i="19"/>
  <c r="E13" i="19"/>
  <c r="E12" i="19"/>
  <c r="E9" i="19"/>
  <c r="E7" i="19"/>
  <c r="E6" i="19"/>
  <c r="F28" i="19"/>
  <c r="S28" i="19" s="1"/>
  <c r="F22" i="19"/>
  <c r="S22" i="19" s="1"/>
  <c r="F13" i="19"/>
  <c r="S13" i="19" s="1"/>
  <c r="F12" i="19"/>
  <c r="S12" i="19" s="1"/>
  <c r="F7" i="19"/>
  <c r="S7" i="19" s="1"/>
  <c r="F6" i="19"/>
  <c r="S6" i="19" s="1"/>
  <c r="O345" i="19"/>
  <c r="C650" i="13"/>
  <c r="M650" i="13" s="1"/>
  <c r="U644" i="13"/>
  <c r="T644" i="13"/>
  <c r="S644" i="13"/>
  <c r="R644" i="13"/>
  <c r="U636" i="13"/>
  <c r="T636" i="13"/>
  <c r="S636" i="13"/>
  <c r="R636" i="13"/>
  <c r="H621" i="13"/>
  <c r="M621" i="13" s="1"/>
  <c r="R621" i="13" s="1"/>
  <c r="W621" i="13" s="1"/>
  <c r="D621" i="13"/>
  <c r="E621" i="13" s="1"/>
  <c r="F621" i="13" s="1"/>
  <c r="K621" i="13" s="1"/>
  <c r="P621" i="13" s="1"/>
  <c r="U621" i="13" s="1"/>
  <c r="Z621" i="13" s="1"/>
  <c r="C1521" i="13" l="1"/>
  <c r="G9" i="8"/>
  <c r="H85" i="10"/>
  <c r="G86" i="10"/>
  <c r="J394" i="19"/>
  <c r="P279" i="3"/>
  <c r="J395" i="19"/>
  <c r="J399" i="19" s="1"/>
  <c r="P280" i="3"/>
  <c r="P394" i="3"/>
  <c r="L459" i="19" s="1"/>
  <c r="P393" i="3"/>
  <c r="L452" i="19" s="1"/>
  <c r="P453" i="19" s="1"/>
  <c r="P84" i="3"/>
  <c r="AK6" i="3"/>
  <c r="AP6" i="3"/>
  <c r="J410" i="19"/>
  <c r="J411" i="19" s="1"/>
  <c r="AP83" i="3"/>
  <c r="R276" i="3"/>
  <c r="G35" i="19" s="1"/>
  <c r="P40" i="3"/>
  <c r="K129" i="19"/>
  <c r="P88" i="3"/>
  <c r="K128" i="19"/>
  <c r="K136" i="19"/>
  <c r="F34" i="19"/>
  <c r="S34" i="19" s="1"/>
  <c r="F31" i="19"/>
  <c r="S31" i="19" s="1"/>
  <c r="R219" i="3"/>
  <c r="P288" i="3"/>
  <c r="R18" i="3"/>
  <c r="K55" i="19" s="1"/>
  <c r="I621" i="13"/>
  <c r="N621" i="13" s="1"/>
  <c r="S621" i="13" s="1"/>
  <c r="X621" i="13" s="1"/>
  <c r="P261" i="3"/>
  <c r="P75" i="3"/>
  <c r="J42" i="8"/>
  <c r="P415" i="3"/>
  <c r="G48" i="10"/>
  <c r="C1518" i="13" s="1"/>
  <c r="C1524" i="13" s="1"/>
  <c r="G59" i="10"/>
  <c r="G60" i="10" s="1"/>
  <c r="Q338" i="19"/>
  <c r="G61" i="10"/>
  <c r="G62" i="10" s="1"/>
  <c r="P454" i="3"/>
  <c r="P396" i="3"/>
  <c r="L199" i="10"/>
  <c r="K198" i="10"/>
  <c r="I168" i="10"/>
  <c r="I171" i="10" s="1"/>
  <c r="I84" i="10"/>
  <c r="I95" i="10" s="1"/>
  <c r="K20" i="10"/>
  <c r="P27" i="3"/>
  <c r="P30" i="3"/>
  <c r="P32" i="3" s="1"/>
  <c r="K75" i="19" s="1"/>
  <c r="F10" i="19"/>
  <c r="P78" i="3"/>
  <c r="P72" i="3"/>
  <c r="P105" i="3"/>
  <c r="P81" i="3"/>
  <c r="P33" i="3"/>
  <c r="P69" i="3"/>
  <c r="Q339" i="19"/>
  <c r="R337" i="19"/>
  <c r="R334" i="19"/>
  <c r="P59" i="3"/>
  <c r="AP59" i="3" s="1"/>
  <c r="P53" i="3"/>
  <c r="P39" i="3"/>
  <c r="L466" i="19" s="1"/>
  <c r="F4" i="19"/>
  <c r="S4" i="19" s="1"/>
  <c r="P213" i="3"/>
  <c r="Q348" i="19"/>
  <c r="Q347" i="19"/>
  <c r="R346" i="19"/>
  <c r="R343" i="19"/>
  <c r="K27" i="3"/>
  <c r="K30" i="3"/>
  <c r="K32" i="3" s="1"/>
  <c r="G75" i="19" s="1"/>
  <c r="J621" i="13"/>
  <c r="O621" i="13" s="1"/>
  <c r="T621" i="13" s="1"/>
  <c r="Y621" i="13" s="1"/>
  <c r="C44" i="5"/>
  <c r="G13" i="8" l="1"/>
  <c r="G14" i="8" s="1"/>
  <c r="G10" i="8"/>
  <c r="J396" i="19"/>
  <c r="J400" i="19"/>
  <c r="J401" i="19" s="1"/>
  <c r="K130" i="19"/>
  <c r="P282" i="3"/>
  <c r="D1370" i="13" s="1"/>
  <c r="G1371" i="13" s="1"/>
  <c r="G1372" i="13" s="1"/>
  <c r="L460" i="19"/>
  <c r="M461" i="19"/>
  <c r="L454" i="19"/>
  <c r="M455" i="19"/>
  <c r="R420" i="3"/>
  <c r="R425" i="3" s="1"/>
  <c r="R426" i="3" s="1"/>
  <c r="J415" i="19"/>
  <c r="J416" i="19" s="1"/>
  <c r="I119" i="10"/>
  <c r="F23" i="19"/>
  <c r="S23" i="19" s="1"/>
  <c r="Q340" i="19"/>
  <c r="K42" i="8"/>
  <c r="P397" i="3"/>
  <c r="P442" i="3"/>
  <c r="M199" i="10"/>
  <c r="L198" i="10"/>
  <c r="J84" i="10"/>
  <c r="J21" i="10" s="1"/>
  <c r="I87" i="10"/>
  <c r="E1549" i="13" s="1"/>
  <c r="J168" i="10"/>
  <c r="J171" i="10" s="1"/>
  <c r="I23" i="10"/>
  <c r="I14" i="10" s="1"/>
  <c r="Z201" i="3" s="1"/>
  <c r="I21" i="10"/>
  <c r="I12" i="10" s="1"/>
  <c r="Z199" i="3" s="1"/>
  <c r="L20" i="10"/>
  <c r="F14" i="19"/>
  <c r="S14" i="19" s="1"/>
  <c r="P60" i="3"/>
  <c r="K71" i="19" s="1"/>
  <c r="P90" i="3"/>
  <c r="AP90" i="3" s="1"/>
  <c r="Q349" i="19"/>
  <c r="G219" i="10"/>
  <c r="H219" i="10" s="1"/>
  <c r="I219" i="10" s="1"/>
  <c r="J219" i="10" s="1"/>
  <c r="K219" i="10" s="1"/>
  <c r="L219" i="10" s="1"/>
  <c r="M219" i="10" s="1"/>
  <c r="N219" i="10" s="1"/>
  <c r="O219" i="10" s="1"/>
  <c r="R422" i="3" l="1"/>
  <c r="R447" i="3" s="1"/>
  <c r="F15" i="19"/>
  <c r="J87" i="10"/>
  <c r="F1549" i="13" s="1"/>
  <c r="J95" i="10"/>
  <c r="L42" i="8"/>
  <c r="P441" i="3"/>
  <c r="R421" i="3" s="1"/>
  <c r="R446" i="3" s="1"/>
  <c r="N199" i="10"/>
  <c r="M198" i="10"/>
  <c r="K168" i="10"/>
  <c r="K171" i="10" s="1"/>
  <c r="J23" i="10"/>
  <c r="J14" i="10" s="1"/>
  <c r="K84" i="10"/>
  <c r="M20" i="10"/>
  <c r="P99" i="3"/>
  <c r="AP99" i="3" s="1"/>
  <c r="P93" i="3"/>
  <c r="K587" i="13"/>
  <c r="J587" i="13"/>
  <c r="I587" i="13"/>
  <c r="H587" i="13"/>
  <c r="U606" i="13"/>
  <c r="T606" i="13"/>
  <c r="S606" i="13"/>
  <c r="R606" i="13"/>
  <c r="U598" i="13"/>
  <c r="T598" i="13"/>
  <c r="S598" i="13"/>
  <c r="R598" i="13"/>
  <c r="M578" i="13"/>
  <c r="M552" i="13"/>
  <c r="R445" i="3" l="1"/>
  <c r="F956" i="13"/>
  <c r="J119" i="10"/>
  <c r="K87" i="10"/>
  <c r="G1549" i="13" s="1"/>
  <c r="K95" i="10"/>
  <c r="M42" i="8"/>
  <c r="O199" i="10"/>
  <c r="O198" i="10" s="1"/>
  <c r="N198" i="10"/>
  <c r="J12" i="10"/>
  <c r="L168" i="10"/>
  <c r="L171" i="10" s="1"/>
  <c r="K23" i="10"/>
  <c r="K14" i="10" s="1"/>
  <c r="L84" i="10"/>
  <c r="K21" i="10"/>
  <c r="N20" i="10"/>
  <c r="P100" i="3"/>
  <c r="F20" i="19" s="1"/>
  <c r="P101" i="3"/>
  <c r="F19" i="19"/>
  <c r="P576" i="13"/>
  <c r="O576" i="13"/>
  <c r="N576" i="13"/>
  <c r="M576" i="13"/>
  <c r="P574" i="13"/>
  <c r="O574" i="13"/>
  <c r="N574" i="13"/>
  <c r="M574" i="13"/>
  <c r="P572" i="13"/>
  <c r="O572" i="13"/>
  <c r="N572" i="13"/>
  <c r="M572" i="13"/>
  <c r="P570" i="13"/>
  <c r="O570" i="13"/>
  <c r="N570" i="13"/>
  <c r="M570" i="13"/>
  <c r="P568" i="13"/>
  <c r="O568" i="13"/>
  <c r="N568" i="13"/>
  <c r="M568" i="13"/>
  <c r="P566" i="13"/>
  <c r="O566" i="13"/>
  <c r="N566" i="13"/>
  <c r="M566" i="13"/>
  <c r="P564" i="13"/>
  <c r="O564" i="13"/>
  <c r="N564" i="13"/>
  <c r="M564" i="13"/>
  <c r="P562" i="13"/>
  <c r="O562" i="13"/>
  <c r="N562" i="13"/>
  <c r="M562" i="13"/>
  <c r="P560" i="13"/>
  <c r="O560" i="13"/>
  <c r="N560" i="13"/>
  <c r="M560" i="13"/>
  <c r="P559" i="13"/>
  <c r="O559" i="13"/>
  <c r="N559" i="13"/>
  <c r="M559" i="13"/>
  <c r="P558" i="13"/>
  <c r="O558" i="13"/>
  <c r="N558" i="13"/>
  <c r="M558" i="13"/>
  <c r="P556" i="13"/>
  <c r="O556" i="13"/>
  <c r="N556" i="13"/>
  <c r="M556" i="13"/>
  <c r="P555" i="13"/>
  <c r="O555" i="13"/>
  <c r="N555" i="13"/>
  <c r="M555" i="13"/>
  <c r="P554" i="13"/>
  <c r="O554" i="13"/>
  <c r="N554" i="13"/>
  <c r="M554" i="13"/>
  <c r="P552" i="13"/>
  <c r="O552" i="13"/>
  <c r="N552" i="13"/>
  <c r="H551" i="13"/>
  <c r="M551" i="13" s="1"/>
  <c r="D551" i="13"/>
  <c r="I551" i="13" s="1"/>
  <c r="N551" i="13" s="1"/>
  <c r="J120" i="10" l="1"/>
  <c r="K119" i="10"/>
  <c r="L87" i="10"/>
  <c r="H1549" i="13" s="1"/>
  <c r="L95" i="10"/>
  <c r="N42" i="8"/>
  <c r="M168" i="10"/>
  <c r="M171" i="10" s="1"/>
  <c r="L23" i="10"/>
  <c r="L14" i="10" s="1"/>
  <c r="K12" i="10"/>
  <c r="M84" i="10"/>
  <c r="L21" i="10"/>
  <c r="O20" i="10"/>
  <c r="F21" i="19"/>
  <c r="S21" i="19" s="1"/>
  <c r="E551" i="13"/>
  <c r="O372" i="3"/>
  <c r="J372" i="3"/>
  <c r="K372" i="3"/>
  <c r="M372" i="3"/>
  <c r="N372" i="3"/>
  <c r="I372" i="3"/>
  <c r="B390" i="19"/>
  <c r="C361" i="19"/>
  <c r="F370" i="19"/>
  <c r="F375" i="19" s="1"/>
  <c r="F369" i="19"/>
  <c r="I370" i="19"/>
  <c r="M370" i="19"/>
  <c r="P375" i="19" s="1"/>
  <c r="P380" i="19" s="1"/>
  <c r="I369" i="19"/>
  <c r="M369" i="19"/>
  <c r="P374" i="19" s="1"/>
  <c r="P379" i="19" s="1"/>
  <c r="B371" i="19"/>
  <c r="B370" i="19"/>
  <c r="B375" i="19" s="1"/>
  <c r="B369" i="19"/>
  <c r="B374" i="19" s="1"/>
  <c r="F368" i="19"/>
  <c r="I368" i="19"/>
  <c r="M368" i="19"/>
  <c r="F361" i="19"/>
  <c r="I361" i="19"/>
  <c r="M361" i="19"/>
  <c r="F363" i="19"/>
  <c r="I363" i="19"/>
  <c r="M363" i="19"/>
  <c r="F365" i="19"/>
  <c r="M365" i="19"/>
  <c r="B365" i="19"/>
  <c r="B364" i="19"/>
  <c r="F364" i="19"/>
  <c r="I364" i="19"/>
  <c r="M364" i="19"/>
  <c r="O335" i="19"/>
  <c r="K335" i="19"/>
  <c r="H335" i="19"/>
  <c r="E335" i="19"/>
  <c r="O336" i="19"/>
  <c r="K336" i="19"/>
  <c r="H336" i="19"/>
  <c r="E336" i="19"/>
  <c r="N337" i="19"/>
  <c r="N334" i="19" s="1"/>
  <c r="J337" i="19"/>
  <c r="G337" i="19"/>
  <c r="G334" i="19" s="1"/>
  <c r="D337" i="19"/>
  <c r="O344" i="19"/>
  <c r="K344" i="19"/>
  <c r="H344" i="19"/>
  <c r="E344" i="19"/>
  <c r="K345" i="19"/>
  <c r="H345" i="19"/>
  <c r="E345" i="19"/>
  <c r="N346" i="19"/>
  <c r="N343" i="19" s="1"/>
  <c r="J346" i="19"/>
  <c r="J343" i="19" s="1"/>
  <c r="G346" i="19"/>
  <c r="D346" i="19"/>
  <c r="D343" i="19" s="1"/>
  <c r="K246" i="3"/>
  <c r="K245" i="3"/>
  <c r="M246" i="3"/>
  <c r="C1454" i="13" s="1"/>
  <c r="C1455" i="13" s="1"/>
  <c r="M254" i="3"/>
  <c r="I448" i="19" s="1"/>
  <c r="M245" i="3"/>
  <c r="C1443" i="13" s="1"/>
  <c r="N246" i="3"/>
  <c r="D1454" i="13" s="1"/>
  <c r="D1455" i="13" s="1"/>
  <c r="N254" i="3"/>
  <c r="J448" i="19" s="1"/>
  <c r="N245" i="3"/>
  <c r="D1443" i="13" s="1"/>
  <c r="O246" i="3"/>
  <c r="E1454" i="13" s="1"/>
  <c r="E1455" i="13" s="1"/>
  <c r="O254" i="3"/>
  <c r="K448" i="19" s="1"/>
  <c r="O245" i="3"/>
  <c r="G367" i="10"/>
  <c r="H367" i="10" s="1"/>
  <c r="E949" i="13" l="1"/>
  <c r="E1443" i="13"/>
  <c r="D1448" i="13"/>
  <c r="D1444" i="13"/>
  <c r="C1448" i="13"/>
  <c r="C1444" i="13"/>
  <c r="O449" i="19"/>
  <c r="N449" i="19"/>
  <c r="M449" i="19"/>
  <c r="F373" i="19"/>
  <c r="F378" i="19"/>
  <c r="M373" i="19"/>
  <c r="M378" i="19"/>
  <c r="I373" i="19"/>
  <c r="I378" i="19"/>
  <c r="B389" i="19"/>
  <c r="B380" i="19"/>
  <c r="D334" i="19"/>
  <c r="B388" i="19"/>
  <c r="B379" i="19"/>
  <c r="N259" i="3"/>
  <c r="D950" i="13"/>
  <c r="M258" i="3"/>
  <c r="C949" i="13"/>
  <c r="N258" i="3"/>
  <c r="D949" i="13"/>
  <c r="M259" i="3"/>
  <c r="C950" i="13"/>
  <c r="O259" i="3"/>
  <c r="E950" i="13"/>
  <c r="F371" i="19"/>
  <c r="F50" i="10"/>
  <c r="F17" i="8" s="1"/>
  <c r="K259" i="3"/>
  <c r="P21" i="3"/>
  <c r="F1418" i="13" s="1"/>
  <c r="O258" i="3"/>
  <c r="F52" i="10"/>
  <c r="K258" i="3"/>
  <c r="K120" i="10"/>
  <c r="L119" i="10"/>
  <c r="M87" i="10"/>
  <c r="I1549" i="13" s="1"/>
  <c r="M95" i="10"/>
  <c r="L12" i="10"/>
  <c r="N168" i="10"/>
  <c r="N171" i="10" s="1"/>
  <c r="M23" i="10"/>
  <c r="M14" i="10" s="1"/>
  <c r="N84" i="10"/>
  <c r="M21" i="10"/>
  <c r="I367" i="10"/>
  <c r="J367" i="10" s="1"/>
  <c r="K367" i="10" s="1"/>
  <c r="L367" i="10" s="1"/>
  <c r="M367" i="10" s="1"/>
  <c r="N367" i="10" s="1"/>
  <c r="O367" i="10" s="1"/>
  <c r="C337" i="19"/>
  <c r="C334" i="19" s="1"/>
  <c r="K21" i="3"/>
  <c r="F346" i="19"/>
  <c r="G347" i="19" s="1"/>
  <c r="N22" i="3"/>
  <c r="D1419" i="13" s="1"/>
  <c r="M22" i="3"/>
  <c r="C1419" i="13" s="1"/>
  <c r="C346" i="19"/>
  <c r="D347" i="19" s="1"/>
  <c r="K22" i="3"/>
  <c r="I346" i="19"/>
  <c r="J348" i="19" s="1"/>
  <c r="O22" i="3"/>
  <c r="E1419" i="13" s="1"/>
  <c r="M346" i="19"/>
  <c r="M343" i="19" s="1"/>
  <c r="O343" i="19" s="1"/>
  <c r="P22" i="3"/>
  <c r="F1419" i="13" s="1"/>
  <c r="I337" i="19"/>
  <c r="J338" i="19" s="1"/>
  <c r="O21" i="3"/>
  <c r="E1418" i="13" s="1"/>
  <c r="F337" i="19"/>
  <c r="G338" i="19" s="1"/>
  <c r="M21" i="3"/>
  <c r="C1418" i="13" s="1"/>
  <c r="N21" i="3"/>
  <c r="D1418" i="13" s="1"/>
  <c r="M337" i="19"/>
  <c r="N339" i="19" s="1"/>
  <c r="P376" i="19"/>
  <c r="P381" i="19" s="1"/>
  <c r="I374" i="19"/>
  <c r="F374" i="19"/>
  <c r="I371" i="19"/>
  <c r="M366" i="19"/>
  <c r="M374" i="19"/>
  <c r="I366" i="19"/>
  <c r="M375" i="19"/>
  <c r="J551" i="13"/>
  <c r="O551" i="13" s="1"/>
  <c r="F551" i="13"/>
  <c r="K551" i="13" s="1"/>
  <c r="P551" i="13" s="1"/>
  <c r="F366" i="19"/>
  <c r="M371" i="19"/>
  <c r="I375" i="19"/>
  <c r="J334" i="19"/>
  <c r="G343" i="19"/>
  <c r="AJ38" i="3"/>
  <c r="AJ36" i="3"/>
  <c r="AJ25" i="3"/>
  <c r="AJ14" i="3"/>
  <c r="AJ7" i="3"/>
  <c r="AJ2" i="3"/>
  <c r="H583" i="13"/>
  <c r="M583" i="13" s="1"/>
  <c r="R583" i="13" s="1"/>
  <c r="W583" i="13" s="1"/>
  <c r="D583" i="13"/>
  <c r="E583" i="13" s="1"/>
  <c r="N29" i="3"/>
  <c r="M19" i="3"/>
  <c r="G59" i="19" s="1"/>
  <c r="J19" i="3"/>
  <c r="E59" i="19" s="1"/>
  <c r="K19" i="3"/>
  <c r="F59" i="19" s="1"/>
  <c r="N19" i="3"/>
  <c r="H59" i="19" s="1"/>
  <c r="O19" i="3"/>
  <c r="I59" i="19" s="1"/>
  <c r="F61" i="10" l="1"/>
  <c r="F62" i="10" s="1"/>
  <c r="F9" i="8"/>
  <c r="E952" i="13"/>
  <c r="E1448" i="13"/>
  <c r="E1444" i="13"/>
  <c r="E334" i="19"/>
  <c r="I380" i="19"/>
  <c r="F380" i="19"/>
  <c r="F379" i="19"/>
  <c r="M380" i="19"/>
  <c r="I379" i="19"/>
  <c r="E337" i="19"/>
  <c r="M379" i="19"/>
  <c r="G51" i="10"/>
  <c r="F59" i="10"/>
  <c r="F60" i="10" s="1"/>
  <c r="F48" i="10"/>
  <c r="G49" i="10" s="1"/>
  <c r="G53" i="10"/>
  <c r="I334" i="19"/>
  <c r="K334" i="19" s="1"/>
  <c r="L120" i="10"/>
  <c r="M119" i="10"/>
  <c r="N87" i="10"/>
  <c r="N95" i="10"/>
  <c r="G339" i="19"/>
  <c r="G340" i="19" s="1"/>
  <c r="F334" i="19"/>
  <c r="H334" i="19" s="1"/>
  <c r="H337" i="19"/>
  <c r="C343" i="19"/>
  <c r="E343" i="19" s="1"/>
  <c r="E346" i="19"/>
  <c r="K337" i="19"/>
  <c r="J339" i="19"/>
  <c r="J340" i="19" s="1"/>
  <c r="D348" i="19"/>
  <c r="D349" i="19" s="1"/>
  <c r="O346" i="19"/>
  <c r="D339" i="19"/>
  <c r="N348" i="19"/>
  <c r="N347" i="19"/>
  <c r="F343" i="19"/>
  <c r="H343" i="19" s="1"/>
  <c r="G348" i="19"/>
  <c r="G349" i="19" s="1"/>
  <c r="D338" i="19"/>
  <c r="H346" i="19"/>
  <c r="O168" i="10"/>
  <c r="N23" i="10"/>
  <c r="N14" i="10" s="1"/>
  <c r="M12" i="10"/>
  <c r="O84" i="10"/>
  <c r="O95" i="10" s="1"/>
  <c r="N21" i="10"/>
  <c r="I343" i="19"/>
  <c r="K343" i="19" s="1"/>
  <c r="K346" i="19"/>
  <c r="J347" i="19"/>
  <c r="J349" i="19" s="1"/>
  <c r="M334" i="19"/>
  <c r="O334" i="19" s="1"/>
  <c r="N338" i="19"/>
  <c r="N340" i="19" s="1"/>
  <c r="O337" i="19"/>
  <c r="F376" i="19"/>
  <c r="F381" i="19" s="1"/>
  <c r="M376" i="19"/>
  <c r="M381" i="19" s="1"/>
  <c r="I376" i="19"/>
  <c r="I381" i="19" s="1"/>
  <c r="I583" i="13"/>
  <c r="N583" i="13" s="1"/>
  <c r="S583" i="13" s="1"/>
  <c r="X583" i="13" s="1"/>
  <c r="F583" i="13"/>
  <c r="K583" i="13" s="1"/>
  <c r="P583" i="13" s="1"/>
  <c r="U583" i="13" s="1"/>
  <c r="Z583" i="13" s="1"/>
  <c r="J583" i="13"/>
  <c r="O583" i="13" s="1"/>
  <c r="T583" i="13" s="1"/>
  <c r="Y583" i="13" s="1"/>
  <c r="O222" i="3"/>
  <c r="I398" i="19" s="1"/>
  <c r="N222" i="3"/>
  <c r="H398" i="19" s="1"/>
  <c r="M222" i="3"/>
  <c r="G398" i="19" s="1"/>
  <c r="K222" i="3"/>
  <c r="F398" i="19" s="1"/>
  <c r="J222" i="3"/>
  <c r="E398" i="19" s="1"/>
  <c r="I222" i="3"/>
  <c r="D398" i="19" s="1"/>
  <c r="O236" i="3"/>
  <c r="J138" i="19" s="1"/>
  <c r="O225" i="3"/>
  <c r="F13" i="8" l="1"/>
  <c r="F14" i="8" s="1"/>
  <c r="F10" i="8"/>
  <c r="F45" i="19"/>
  <c r="C45" i="19"/>
  <c r="D45" i="19"/>
  <c r="E45" i="19"/>
  <c r="N349" i="19"/>
  <c r="D340" i="19"/>
  <c r="O119" i="10"/>
  <c r="M120" i="10"/>
  <c r="N119" i="10"/>
  <c r="P356" i="3"/>
  <c r="P357" i="3" s="1"/>
  <c r="O23" i="10"/>
  <c r="O14" i="10" s="1"/>
  <c r="O171" i="10"/>
  <c r="O21" i="10"/>
  <c r="O87" i="10"/>
  <c r="N12" i="10"/>
  <c r="O218" i="3"/>
  <c r="O227" i="3" s="1"/>
  <c r="P242" i="3"/>
  <c r="O453" i="3"/>
  <c r="O417" i="3"/>
  <c r="O416" i="3"/>
  <c r="O370" i="3"/>
  <c r="O367" i="3"/>
  <c r="O365" i="3"/>
  <c r="O330" i="3"/>
  <c r="O305" i="3"/>
  <c r="O301" i="3"/>
  <c r="O303" i="3" s="1"/>
  <c r="O294" i="3"/>
  <c r="O296" i="3" s="1"/>
  <c r="O286" i="3"/>
  <c r="O285" i="3"/>
  <c r="O268" i="3"/>
  <c r="O267" i="3"/>
  <c r="P273" i="3" s="1"/>
  <c r="F1299" i="13" s="1"/>
  <c r="O248" i="3"/>
  <c r="O239" i="3"/>
  <c r="I91" i="19"/>
  <c r="O214" i="3"/>
  <c r="O83" i="3"/>
  <c r="O84" i="3" s="1"/>
  <c r="O63" i="3"/>
  <c r="O55" i="3"/>
  <c r="O54" i="3"/>
  <c r="O48" i="3"/>
  <c r="AO48" i="3" s="1"/>
  <c r="O29" i="3"/>
  <c r="O31" i="3" s="1"/>
  <c r="I83" i="19"/>
  <c r="J84" i="19" s="1"/>
  <c r="I81" i="19"/>
  <c r="J82" i="19" s="1"/>
  <c r="I101" i="19"/>
  <c r="I98" i="19"/>
  <c r="I90" i="19"/>
  <c r="E1381" i="13" s="1"/>
  <c r="I89" i="19"/>
  <c r="E1380" i="13" s="1"/>
  <c r="I86" i="19"/>
  <c r="F44" i="19"/>
  <c r="E44" i="19"/>
  <c r="D44" i="19"/>
  <c r="C44" i="19"/>
  <c r="I394" i="19" l="1"/>
  <c r="O279" i="3"/>
  <c r="I395" i="19"/>
  <c r="I399" i="19" s="1"/>
  <c r="O280" i="3"/>
  <c r="P41" i="3"/>
  <c r="K72" i="19" s="1"/>
  <c r="O394" i="3"/>
  <c r="K459" i="19" s="1"/>
  <c r="O393" i="3"/>
  <c r="K452" i="19" s="1"/>
  <c r="O453" i="19" s="1"/>
  <c r="I409" i="19"/>
  <c r="I414" i="19" s="1"/>
  <c r="I419" i="19" s="1"/>
  <c r="AO63" i="3"/>
  <c r="I410" i="19"/>
  <c r="I415" i="19" s="1"/>
  <c r="AO83" i="3"/>
  <c r="J128" i="19"/>
  <c r="J129" i="19"/>
  <c r="O88" i="3"/>
  <c r="O261" i="3"/>
  <c r="P18" i="3"/>
  <c r="J55" i="19" s="1"/>
  <c r="P274" i="3"/>
  <c r="F1300" i="13" s="1"/>
  <c r="P277" i="3"/>
  <c r="P265" i="3"/>
  <c r="N120" i="10"/>
  <c r="O120" i="10"/>
  <c r="O12" i="10"/>
  <c r="O213" i="3"/>
  <c r="O105" i="3"/>
  <c r="E31" i="19"/>
  <c r="P219" i="3"/>
  <c r="P65" i="3"/>
  <c r="P61" i="3"/>
  <c r="E4" i="19"/>
  <c r="O75" i="3"/>
  <c r="O219" i="3"/>
  <c r="O65" i="3"/>
  <c r="E10" i="19"/>
  <c r="O39" i="3"/>
  <c r="K466" i="19" s="1"/>
  <c r="O373" i="3"/>
  <c r="O375" i="3" s="1"/>
  <c r="O415" i="3"/>
  <c r="O313" i="3"/>
  <c r="O288" i="3"/>
  <c r="O396" i="3"/>
  <c r="O454" i="3"/>
  <c r="J134" i="19"/>
  <c r="O309" i="3"/>
  <c r="O355" i="3"/>
  <c r="O59" i="3"/>
  <c r="O318" i="3"/>
  <c r="O323" i="3" s="1"/>
  <c r="O33" i="3"/>
  <c r="O81" i="3"/>
  <c r="O270" i="3"/>
  <c r="T271" i="3" s="1"/>
  <c r="O72" i="3"/>
  <c r="J135" i="19"/>
  <c r="O78" i="3"/>
  <c r="O53" i="3"/>
  <c r="P56" i="3" s="1"/>
  <c r="O69" i="3"/>
  <c r="D192" i="16"/>
  <c r="D191" i="16"/>
  <c r="E943" i="13"/>
  <c r="E944" i="13"/>
  <c r="D945" i="13"/>
  <c r="I396" i="19" l="1"/>
  <c r="I400" i="19"/>
  <c r="I401" i="19" s="1"/>
  <c r="J130" i="19"/>
  <c r="O282" i="3"/>
  <c r="K460" i="19"/>
  <c r="L461" i="19"/>
  <c r="K454" i="19"/>
  <c r="L455" i="19"/>
  <c r="I416" i="19"/>
  <c r="I411" i="19"/>
  <c r="E14" i="19"/>
  <c r="E15" i="19" s="1"/>
  <c r="AO59" i="3"/>
  <c r="E23" i="19"/>
  <c r="P420" i="3"/>
  <c r="P425" i="3" s="1"/>
  <c r="E34" i="19"/>
  <c r="P276" i="3"/>
  <c r="F35" i="19" s="1"/>
  <c r="O90" i="3"/>
  <c r="AO90" i="3" s="1"/>
  <c r="E945" i="13"/>
  <c r="O60" i="3"/>
  <c r="J71" i="19" s="1"/>
  <c r="O397" i="3"/>
  <c r="O442" i="3"/>
  <c r="O61" i="3"/>
  <c r="J136" i="19"/>
  <c r="I212" i="10"/>
  <c r="J212" i="10" s="1"/>
  <c r="K212" i="10" s="1"/>
  <c r="L212" i="10" s="1"/>
  <c r="M212" i="10" s="1"/>
  <c r="N212" i="10" s="1"/>
  <c r="O212" i="10" s="1"/>
  <c r="F211" i="10"/>
  <c r="E211" i="10"/>
  <c r="D211" i="10"/>
  <c r="C211" i="10"/>
  <c r="O441" i="3" l="1"/>
  <c r="P421" i="3" s="1"/>
  <c r="P446" i="3" s="1"/>
  <c r="P426" i="3"/>
  <c r="P422" i="3"/>
  <c r="P447" i="3" s="1"/>
  <c r="O99" i="3"/>
  <c r="O93" i="3"/>
  <c r="H230" i="10"/>
  <c r="G230" i="10"/>
  <c r="G234" i="10" s="1"/>
  <c r="F220" i="10"/>
  <c r="N214" i="3"/>
  <c r="M214" i="3"/>
  <c r="K214" i="3"/>
  <c r="C915" i="13"/>
  <c r="D915" i="13"/>
  <c r="E915" i="13"/>
  <c r="F915" i="13"/>
  <c r="E956" i="13" l="1"/>
  <c r="AO99" i="3"/>
  <c r="P445" i="3"/>
  <c r="O101" i="3"/>
  <c r="E19" i="19"/>
  <c r="E21" i="19" s="1"/>
  <c r="O100" i="3"/>
  <c r="E20" i="19" s="1"/>
  <c r="F917" i="13"/>
  <c r="D1267" i="13" l="1"/>
  <c r="I1267" i="13" s="1"/>
  <c r="N1267" i="13" s="1"/>
  <c r="E1267" i="13" l="1"/>
  <c r="J1267" i="13" s="1"/>
  <c r="O1267" i="13" s="1"/>
  <c r="I910" i="13"/>
  <c r="I909" i="13"/>
  <c r="I908" i="13"/>
  <c r="I907" i="13"/>
  <c r="I906" i="13"/>
  <c r="I905" i="13"/>
  <c r="I904" i="13"/>
  <c r="I903" i="13"/>
  <c r="I902" i="13"/>
  <c r="I901" i="13"/>
  <c r="I900" i="13"/>
  <c r="E910" i="13"/>
  <c r="E909" i="13"/>
  <c r="E908" i="13"/>
  <c r="E907" i="13"/>
  <c r="E906" i="13"/>
  <c r="E905" i="13"/>
  <c r="E904" i="13"/>
  <c r="E903" i="13"/>
  <c r="E902" i="13"/>
  <c r="E901" i="13"/>
  <c r="E900" i="13"/>
  <c r="F1267" i="13" l="1"/>
  <c r="K1267" i="13" s="1"/>
  <c r="P1267" i="13" s="1"/>
  <c r="AI38" i="3"/>
  <c r="AI36" i="3"/>
  <c r="AI25" i="3"/>
  <c r="AI14" i="3"/>
  <c r="AI7" i="3"/>
  <c r="N240" i="3"/>
  <c r="N239" i="3"/>
  <c r="J252" i="3"/>
  <c r="I252" i="3"/>
  <c r="H252" i="3"/>
  <c r="J251" i="3"/>
  <c r="I251" i="3"/>
  <c r="H251" i="3"/>
  <c r="G252" i="3"/>
  <c r="G251" i="3"/>
  <c r="AI2" i="3"/>
  <c r="P299" i="19"/>
  <c r="O299" i="19"/>
  <c r="N299" i="19"/>
  <c r="M299" i="19"/>
  <c r="K299" i="19"/>
  <c r="H299" i="19"/>
  <c r="G299" i="19"/>
  <c r="F299" i="19"/>
  <c r="E299" i="19"/>
  <c r="D299" i="19"/>
  <c r="C299" i="19"/>
  <c r="N286" i="3" l="1"/>
  <c r="M286" i="3"/>
  <c r="K286" i="3"/>
  <c r="J286" i="3"/>
  <c r="I286" i="3"/>
  <c r="H286" i="3"/>
  <c r="G286" i="3"/>
  <c r="C129" i="19" s="1"/>
  <c r="N285" i="3"/>
  <c r="M285" i="3"/>
  <c r="K285" i="3"/>
  <c r="J285" i="3"/>
  <c r="I285" i="3"/>
  <c r="H285" i="3"/>
  <c r="G285" i="3"/>
  <c r="C128" i="19" s="1"/>
  <c r="H890" i="13"/>
  <c r="G890" i="13"/>
  <c r="F890" i="13"/>
  <c r="E890" i="13"/>
  <c r="E891" i="13" s="1"/>
  <c r="E892" i="13" s="1"/>
  <c r="D890" i="13"/>
  <c r="C890" i="13"/>
  <c r="H888" i="13"/>
  <c r="G888" i="13"/>
  <c r="F888" i="13"/>
  <c r="E888" i="13"/>
  <c r="D888" i="13"/>
  <c r="C888" i="13"/>
  <c r="H90" i="19"/>
  <c r="D1381" i="13" s="1"/>
  <c r="G90" i="19"/>
  <c r="H89" i="19"/>
  <c r="D1380" i="13" s="1"/>
  <c r="G89" i="19"/>
  <c r="F90" i="19"/>
  <c r="E90" i="19"/>
  <c r="D90" i="19"/>
  <c r="F89" i="19"/>
  <c r="E89" i="19"/>
  <c r="D89" i="19"/>
  <c r="E83" i="19"/>
  <c r="F83" i="19"/>
  <c r="H208" i="3"/>
  <c r="C83" i="19" s="1"/>
  <c r="C84" i="19" s="1"/>
  <c r="I208" i="3"/>
  <c r="I210" i="3" s="1"/>
  <c r="G83" i="19"/>
  <c r="H83" i="19"/>
  <c r="I84" i="19" s="1"/>
  <c r="H394" i="19" l="1"/>
  <c r="C395" i="19"/>
  <c r="D395" i="19"/>
  <c r="D399" i="19" s="1"/>
  <c r="D394" i="19"/>
  <c r="E395" i="19"/>
  <c r="E399" i="19" s="1"/>
  <c r="E394" i="19"/>
  <c r="F395" i="19"/>
  <c r="F399" i="19" s="1"/>
  <c r="C394" i="19"/>
  <c r="F394" i="19"/>
  <c r="G395" i="19"/>
  <c r="G399" i="19" s="1"/>
  <c r="G394" i="19"/>
  <c r="H395" i="19"/>
  <c r="H399" i="19" s="1"/>
  <c r="D128" i="19"/>
  <c r="E128" i="19"/>
  <c r="F129" i="19"/>
  <c r="E129" i="19"/>
  <c r="F128" i="19"/>
  <c r="G129" i="19"/>
  <c r="G128" i="19"/>
  <c r="H129" i="19"/>
  <c r="H128" i="19"/>
  <c r="I129" i="19"/>
  <c r="D129" i="19"/>
  <c r="I128" i="19"/>
  <c r="H209" i="3"/>
  <c r="H210" i="3"/>
  <c r="D83" i="19"/>
  <c r="D84" i="19" s="1"/>
  <c r="I209" i="3"/>
  <c r="J209" i="3"/>
  <c r="H84" i="19"/>
  <c r="G84" i="19"/>
  <c r="F84" i="19"/>
  <c r="E396" i="19" l="1"/>
  <c r="F400" i="19"/>
  <c r="F401" i="19" s="1"/>
  <c r="C396" i="19"/>
  <c r="H400" i="19"/>
  <c r="H401" i="19" s="1"/>
  <c r="G400" i="19"/>
  <c r="G401" i="19" s="1"/>
  <c r="D400" i="19"/>
  <c r="D401" i="19" s="1"/>
  <c r="E400" i="19"/>
  <c r="E401" i="19" s="1"/>
  <c r="H396" i="19"/>
  <c r="G396" i="19"/>
  <c r="D396" i="19"/>
  <c r="F396" i="19"/>
  <c r="E84" i="19"/>
  <c r="H98" i="19"/>
  <c r="G98" i="19"/>
  <c r="F98" i="19"/>
  <c r="E98" i="19"/>
  <c r="D98" i="19"/>
  <c r="G268" i="3"/>
  <c r="C135" i="19" s="1"/>
  <c r="G267" i="3"/>
  <c r="C134" i="19" s="1"/>
  <c r="I268" i="3"/>
  <c r="H268" i="3"/>
  <c r="I267" i="3"/>
  <c r="H267" i="3"/>
  <c r="J268" i="3"/>
  <c r="J267" i="3"/>
  <c r="K268" i="3"/>
  <c r="K267" i="3"/>
  <c r="M268" i="3"/>
  <c r="M280" i="3" s="1"/>
  <c r="M267" i="3"/>
  <c r="M279" i="3" s="1"/>
  <c r="N268" i="3"/>
  <c r="N280" i="3" s="1"/>
  <c r="N267" i="3"/>
  <c r="N279" i="3" s="1"/>
  <c r="O174" i="19"/>
  <c r="O173" i="19"/>
  <c r="O171" i="19"/>
  <c r="O170" i="19"/>
  <c r="D135" i="19" l="1"/>
  <c r="H280" i="3"/>
  <c r="D134" i="19"/>
  <c r="H279" i="3"/>
  <c r="E135" i="19"/>
  <c r="I280" i="3"/>
  <c r="E134" i="19"/>
  <c r="I279" i="3"/>
  <c r="G135" i="19"/>
  <c r="G148" i="19" s="1"/>
  <c r="K280" i="3"/>
  <c r="F134" i="19"/>
  <c r="J279" i="3"/>
  <c r="G134" i="19"/>
  <c r="G147" i="19" s="1"/>
  <c r="K279" i="3"/>
  <c r="F135" i="19"/>
  <c r="J280" i="3"/>
  <c r="M265" i="3"/>
  <c r="N265" i="3"/>
  <c r="N277" i="3"/>
  <c r="O277" i="3"/>
  <c r="O265" i="3"/>
  <c r="O273" i="3"/>
  <c r="E1299" i="13" s="1"/>
  <c r="O274" i="3"/>
  <c r="E1300" i="13" s="1"/>
  <c r="O175" i="19"/>
  <c r="H135" i="19"/>
  <c r="H148" i="19" s="1"/>
  <c r="H134" i="19"/>
  <c r="I134" i="19"/>
  <c r="N273" i="3"/>
  <c r="D1299" i="13" s="1"/>
  <c r="I135" i="19"/>
  <c r="N274" i="3"/>
  <c r="D1300" i="13" s="1"/>
  <c r="F147" i="19"/>
  <c r="H101" i="19"/>
  <c r="H86" i="19"/>
  <c r="H81" i="19"/>
  <c r="I82" i="19" s="1"/>
  <c r="F152" i="19" l="1"/>
  <c r="I148" i="19"/>
  <c r="F151" i="19"/>
  <c r="F148" i="19"/>
  <c r="G152" i="19"/>
  <c r="G151" i="19"/>
  <c r="H147" i="19"/>
  <c r="I147" i="19"/>
  <c r="I151" i="19"/>
  <c r="H151" i="19"/>
  <c r="H152" i="19"/>
  <c r="I152" i="19"/>
  <c r="AH2" i="3"/>
  <c r="AG2" i="3"/>
  <c r="N453" i="3"/>
  <c r="N417" i="3"/>
  <c r="N416" i="3"/>
  <c r="N370" i="3"/>
  <c r="N373" i="3" s="1"/>
  <c r="N367" i="3"/>
  <c r="N365" i="3"/>
  <c r="N330" i="3"/>
  <c r="N305" i="3"/>
  <c r="N301" i="3"/>
  <c r="N294" i="3"/>
  <c r="N248" i="3"/>
  <c r="N236" i="3"/>
  <c r="I138" i="19" s="1"/>
  <c r="N225" i="3"/>
  <c r="N83" i="3"/>
  <c r="N84" i="3" s="1"/>
  <c r="N63" i="3"/>
  <c r="N55" i="3"/>
  <c r="N54" i="3"/>
  <c r="N48" i="3"/>
  <c r="AN48" i="3" s="1"/>
  <c r="G16" i="9"/>
  <c r="G4" i="9"/>
  <c r="H4" i="9" s="1"/>
  <c r="I4" i="9" s="1"/>
  <c r="J4" i="9" s="1"/>
  <c r="K4" i="9" s="1"/>
  <c r="L4" i="9" s="1"/>
  <c r="M4" i="9" s="1"/>
  <c r="N4" i="9" s="1"/>
  <c r="F4" i="9"/>
  <c r="F9" i="9" s="1"/>
  <c r="E4" i="9"/>
  <c r="E7" i="9" s="1"/>
  <c r="D4" i="9"/>
  <c r="D10" i="9" s="1"/>
  <c r="D13" i="9" s="1"/>
  <c r="C4" i="9"/>
  <c r="C10" i="9" s="1"/>
  <c r="C13" i="9" s="1"/>
  <c r="B4" i="9"/>
  <c r="B10" i="9" s="1"/>
  <c r="B12" i="9" s="1"/>
  <c r="AG6" i="12"/>
  <c r="AF6" i="12"/>
  <c r="AE6" i="12"/>
  <c r="AD6" i="12"/>
  <c r="AC6" i="12"/>
  <c r="AB6" i="12"/>
  <c r="AA6" i="12"/>
  <c r="Z6" i="12"/>
  <c r="Y6" i="12"/>
  <c r="X6" i="12"/>
  <c r="W6" i="12"/>
  <c r="V6" i="12"/>
  <c r="U6" i="12"/>
  <c r="T6" i="12"/>
  <c r="S6" i="12"/>
  <c r="R6" i="12"/>
  <c r="Q6" i="12"/>
  <c r="P6" i="12"/>
  <c r="O6" i="12"/>
  <c r="N6" i="12"/>
  <c r="M6" i="12"/>
  <c r="L6" i="12"/>
  <c r="K6" i="12"/>
  <c r="J6" i="12"/>
  <c r="I6" i="12"/>
  <c r="H6" i="12"/>
  <c r="G6" i="12"/>
  <c r="F6" i="12"/>
  <c r="E6" i="12"/>
  <c r="D6" i="12"/>
  <c r="AP5" i="12"/>
  <c r="AO5" i="12"/>
  <c r="AN5" i="12"/>
  <c r="AM5" i="12"/>
  <c r="AL5" i="12"/>
  <c r="AK5" i="12"/>
  <c r="AJ5" i="12"/>
  <c r="AI5" i="12"/>
  <c r="AH5" i="12"/>
  <c r="AG5" i="12"/>
  <c r="AF5" i="12"/>
  <c r="AE5" i="12"/>
  <c r="AD5" i="12"/>
  <c r="AC5" i="12"/>
  <c r="AB5" i="12"/>
  <c r="AA5" i="12"/>
  <c r="Z5" i="12"/>
  <c r="Y5" i="12"/>
  <c r="X5" i="12"/>
  <c r="W5" i="12"/>
  <c r="V5" i="12"/>
  <c r="U5" i="12"/>
  <c r="T5" i="12"/>
  <c r="S5" i="12"/>
  <c r="R5" i="12"/>
  <c r="Q5" i="12"/>
  <c r="P5" i="12"/>
  <c r="O5" i="12"/>
  <c r="N5" i="12"/>
  <c r="M5" i="12"/>
  <c r="L5" i="12"/>
  <c r="K5" i="12"/>
  <c r="J5" i="12"/>
  <c r="I5" i="12"/>
  <c r="H5" i="12"/>
  <c r="G5" i="12"/>
  <c r="D87" i="16"/>
  <c r="D48" i="16"/>
  <c r="D38" i="16"/>
  <c r="D35" i="16"/>
  <c r="B35" i="16"/>
  <c r="D34" i="16"/>
  <c r="B34" i="16"/>
  <c r="D33" i="16"/>
  <c r="B33" i="16"/>
  <c r="D32" i="16"/>
  <c r="B32" i="16"/>
  <c r="D13" i="16"/>
  <c r="E12" i="16"/>
  <c r="E11" i="16"/>
  <c r="D3" i="16"/>
  <c r="C40" i="17"/>
  <c r="E39" i="17"/>
  <c r="E38" i="17"/>
  <c r="C35" i="17"/>
  <c r="H27" i="17"/>
  <c r="I27" i="17" s="1"/>
  <c r="J27" i="17" s="1"/>
  <c r="K27" i="17" s="1"/>
  <c r="H25" i="17"/>
  <c r="I25" i="17" s="1"/>
  <c r="J25" i="17" s="1"/>
  <c r="K25" i="17" s="1"/>
  <c r="K17" i="17"/>
  <c r="J17" i="17"/>
  <c r="I17" i="17"/>
  <c r="H17" i="17"/>
  <c r="G17" i="17"/>
  <c r="F17" i="17"/>
  <c r="E17" i="17"/>
  <c r="D17" i="17"/>
  <c r="C17" i="17"/>
  <c r="K13" i="17"/>
  <c r="G3" i="17"/>
  <c r="F3" i="17"/>
  <c r="E3" i="17"/>
  <c r="D3" i="17"/>
  <c r="C3" i="17"/>
  <c r="B16" i="18"/>
  <c r="C4" i="15"/>
  <c r="M3" i="15"/>
  <c r="L3" i="15"/>
  <c r="K3" i="15"/>
  <c r="J3" i="15"/>
  <c r="I3" i="15"/>
  <c r="F219" i="14"/>
  <c r="F208" i="14"/>
  <c r="B208" i="14"/>
  <c r="F207" i="14"/>
  <c r="F203" i="14"/>
  <c r="B203" i="14"/>
  <c r="F202" i="14"/>
  <c r="B202" i="14"/>
  <c r="F182" i="14"/>
  <c r="F181" i="14"/>
  <c r="F199" i="14" s="1"/>
  <c r="F200" i="14" s="1"/>
  <c r="B181" i="14"/>
  <c r="O170" i="14"/>
  <c r="N170" i="14"/>
  <c r="M170" i="14"/>
  <c r="L170" i="14"/>
  <c r="K170" i="14"/>
  <c r="J170" i="14"/>
  <c r="I170" i="14"/>
  <c r="H170" i="14"/>
  <c r="G170" i="14"/>
  <c r="F170" i="14"/>
  <c r="E170" i="14"/>
  <c r="D170" i="14"/>
  <c r="AL167" i="14"/>
  <c r="AL170" i="14" s="1"/>
  <c r="F161" i="14"/>
  <c r="F162" i="14" s="1"/>
  <c r="F165" i="14" s="1"/>
  <c r="F168" i="14" s="1"/>
  <c r="E161" i="14"/>
  <c r="E162" i="14" s="1"/>
  <c r="E165" i="14" s="1"/>
  <c r="E168" i="14" s="1"/>
  <c r="D161" i="14"/>
  <c r="D162" i="14" s="1"/>
  <c r="AH152" i="14"/>
  <c r="AH151" i="14"/>
  <c r="F150" i="14"/>
  <c r="F153" i="14" s="1"/>
  <c r="E150" i="14"/>
  <c r="E153" i="14" s="1"/>
  <c r="D150" i="14"/>
  <c r="D153" i="14" s="1"/>
  <c r="F145" i="14"/>
  <c r="F148" i="14" s="1"/>
  <c r="E145" i="14"/>
  <c r="E148" i="14" s="1"/>
  <c r="D145" i="14"/>
  <c r="D148" i="14" s="1"/>
  <c r="F140" i="14"/>
  <c r="F136" i="14" s="1"/>
  <c r="E140" i="14"/>
  <c r="E136" i="14" s="1"/>
  <c r="D140" i="14"/>
  <c r="C140" i="14"/>
  <c r="E116" i="14"/>
  <c r="D116" i="14"/>
  <c r="E114" i="14"/>
  <c r="E120" i="14" s="1"/>
  <c r="F112" i="14"/>
  <c r="G111" i="14"/>
  <c r="H111" i="14" s="1"/>
  <c r="I111" i="14" s="1"/>
  <c r="J111" i="14" s="1"/>
  <c r="K111" i="14" s="1"/>
  <c r="L111" i="14" s="1"/>
  <c r="M111" i="14" s="1"/>
  <c r="N111" i="14" s="1"/>
  <c r="O111" i="14" s="1"/>
  <c r="F109" i="14"/>
  <c r="G108" i="14"/>
  <c r="H108" i="14" s="1"/>
  <c r="I108" i="14" s="1"/>
  <c r="J108" i="14" s="1"/>
  <c r="K108" i="14" s="1"/>
  <c r="L108" i="14" s="1"/>
  <c r="M108" i="14" s="1"/>
  <c r="N108" i="14" s="1"/>
  <c r="O108" i="14" s="1"/>
  <c r="F104" i="14"/>
  <c r="E104" i="14"/>
  <c r="D104" i="14"/>
  <c r="F102" i="14"/>
  <c r="E102" i="14"/>
  <c r="D102" i="14"/>
  <c r="F98" i="14"/>
  <c r="E98" i="14"/>
  <c r="D98" i="14"/>
  <c r="B84" i="14"/>
  <c r="B82" i="14"/>
  <c r="E81" i="14"/>
  <c r="AE81" i="14" s="1"/>
  <c r="D81" i="14"/>
  <c r="C81" i="14"/>
  <c r="B81" i="14"/>
  <c r="F80" i="14"/>
  <c r="AF80" i="14" s="1"/>
  <c r="B79" i="14"/>
  <c r="D70" i="14"/>
  <c r="C70" i="14"/>
  <c r="B70" i="14"/>
  <c r="D69" i="14"/>
  <c r="C69" i="14"/>
  <c r="B69" i="14"/>
  <c r="D68" i="14"/>
  <c r="C68" i="14"/>
  <c r="B68" i="14"/>
  <c r="C65" i="14"/>
  <c r="E63" i="14"/>
  <c r="D63" i="14"/>
  <c r="C63" i="14"/>
  <c r="E59" i="14"/>
  <c r="D59" i="14"/>
  <c r="C59" i="14"/>
  <c r="E58" i="14"/>
  <c r="D58" i="14"/>
  <c r="C58" i="14"/>
  <c r="C51" i="14"/>
  <c r="D50" i="14"/>
  <c r="C50" i="14"/>
  <c r="C49" i="14"/>
  <c r="D45" i="14"/>
  <c r="C45" i="14"/>
  <c r="B45" i="14"/>
  <c r="B51" i="14" s="1"/>
  <c r="D44" i="14"/>
  <c r="C44" i="14"/>
  <c r="B44" i="14"/>
  <c r="B50" i="14" s="1"/>
  <c r="C43" i="14"/>
  <c r="B43" i="14"/>
  <c r="B49" i="14" s="1"/>
  <c r="N38" i="14"/>
  <c r="AN38" i="14" s="1"/>
  <c r="D38" i="14"/>
  <c r="D36" i="14"/>
  <c r="C36" i="14"/>
  <c r="C35" i="14"/>
  <c r="N30" i="14"/>
  <c r="AN30" i="14" s="1"/>
  <c r="D30" i="14"/>
  <c r="D28" i="14"/>
  <c r="C28" i="14"/>
  <c r="C27" i="14"/>
  <c r="B27" i="14"/>
  <c r="B35" i="14" s="1"/>
  <c r="N22" i="14"/>
  <c r="AN22" i="14" s="1"/>
  <c r="G20" i="14"/>
  <c r="AG20" i="14" s="1"/>
  <c r="F20" i="14"/>
  <c r="AF20" i="14" s="1"/>
  <c r="D20" i="14"/>
  <c r="C20" i="14"/>
  <c r="D19" i="14"/>
  <c r="C19" i="14"/>
  <c r="C18" i="14"/>
  <c r="C26" i="14" s="1"/>
  <c r="C34" i="14" s="1"/>
  <c r="C56" i="14" s="1"/>
  <c r="B15" i="14"/>
  <c r="B14" i="14"/>
  <c r="B13" i="14"/>
  <c r="AD2" i="14"/>
  <c r="AE2" i="14" s="1"/>
  <c r="AF2" i="14" s="1"/>
  <c r="AG2" i="14" s="1"/>
  <c r="AH2" i="14" s="1"/>
  <c r="AI2" i="14" s="1"/>
  <c r="AJ2" i="14" s="1"/>
  <c r="AK2" i="14" s="1"/>
  <c r="AL2" i="14" s="1"/>
  <c r="AM2" i="14" s="1"/>
  <c r="AN2" i="14" s="1"/>
  <c r="D2" i="14"/>
  <c r="E2" i="14" s="1"/>
  <c r="I12" i="4"/>
  <c r="J12" i="4" s="1"/>
  <c r="K12" i="4" s="1"/>
  <c r="G12" i="4"/>
  <c r="F12" i="4" s="1"/>
  <c r="F14" i="21"/>
  <c r="F31" i="21" s="1"/>
  <c r="E14" i="21"/>
  <c r="D14" i="21"/>
  <c r="D31" i="21" s="1"/>
  <c r="D32" i="21" s="1"/>
  <c r="C14" i="21"/>
  <c r="C15" i="21" s="1"/>
  <c r="A14" i="21"/>
  <c r="F11" i="21"/>
  <c r="E11" i="21"/>
  <c r="E28" i="21" s="1"/>
  <c r="D11" i="21"/>
  <c r="D28" i="21" s="1"/>
  <c r="C11" i="21"/>
  <c r="A11" i="21"/>
  <c r="F7" i="21"/>
  <c r="F24" i="21" s="1"/>
  <c r="E7" i="21"/>
  <c r="D7" i="21"/>
  <c r="C7" i="21"/>
  <c r="C24" i="21" s="1"/>
  <c r="A7" i="21"/>
  <c r="F3" i="21"/>
  <c r="F20" i="21" s="1"/>
  <c r="E3" i="21"/>
  <c r="E20" i="21" s="1"/>
  <c r="D3" i="21"/>
  <c r="D20" i="21" s="1"/>
  <c r="C3" i="21"/>
  <c r="C20" i="21" s="1"/>
  <c r="E21" i="5"/>
  <c r="F21" i="5" s="1"/>
  <c r="E20" i="5"/>
  <c r="D17" i="5"/>
  <c r="B14" i="18" s="1"/>
  <c r="G10" i="5"/>
  <c r="C863" i="13"/>
  <c r="D842" i="13"/>
  <c r="L841" i="13"/>
  <c r="L862" i="13" s="1"/>
  <c r="L867" i="13" s="1"/>
  <c r="K841" i="13"/>
  <c r="K862" i="13" s="1"/>
  <c r="K867" i="13" s="1"/>
  <c r="J841" i="13"/>
  <c r="J862" i="13" s="1"/>
  <c r="J867" i="13" s="1"/>
  <c r="I841" i="13"/>
  <c r="I862" i="13" s="1"/>
  <c r="I867" i="13" s="1"/>
  <c r="H841" i="13"/>
  <c r="H862" i="13" s="1"/>
  <c r="H867" i="13" s="1"/>
  <c r="G841" i="13"/>
  <c r="G862" i="13" s="1"/>
  <c r="G867" i="13" s="1"/>
  <c r="F841" i="13"/>
  <c r="F862" i="13" s="1"/>
  <c r="F867" i="13" s="1"/>
  <c r="E841" i="13"/>
  <c r="E862" i="13" s="1"/>
  <c r="E867" i="13" s="1"/>
  <c r="D841" i="13"/>
  <c r="D862" i="13" s="1"/>
  <c r="D867" i="13" s="1"/>
  <c r="C841" i="13"/>
  <c r="C862" i="13" s="1"/>
  <c r="C867" i="13" s="1"/>
  <c r="P836" i="13"/>
  <c r="O836" i="13"/>
  <c r="N836" i="13"/>
  <c r="M836" i="13"/>
  <c r="L836" i="13"/>
  <c r="K836" i="13"/>
  <c r="J836" i="13"/>
  <c r="I836" i="13"/>
  <c r="H836" i="13"/>
  <c r="G836" i="13"/>
  <c r="F836" i="13"/>
  <c r="E836" i="13"/>
  <c r="D836" i="13"/>
  <c r="C836" i="13"/>
  <c r="B832" i="13"/>
  <c r="B833" i="13" s="1"/>
  <c r="B834" i="13" s="1"/>
  <c r="B830" i="13"/>
  <c r="B804" i="13"/>
  <c r="B803" i="13"/>
  <c r="D802" i="13"/>
  <c r="D801" i="13" s="1"/>
  <c r="J800" i="13"/>
  <c r="M800" i="13" s="1"/>
  <c r="I800" i="13"/>
  <c r="L800" i="13" s="1"/>
  <c r="H800" i="13"/>
  <c r="K800" i="13" s="1"/>
  <c r="C776" i="13"/>
  <c r="D776" i="13" s="1"/>
  <c r="C779" i="13" s="1"/>
  <c r="H755" i="13"/>
  <c r="C754" i="13"/>
  <c r="D754" i="13" s="1"/>
  <c r="C753" i="13"/>
  <c r="E753" i="13" s="1"/>
  <c r="C747" i="13" s="1"/>
  <c r="C752" i="13"/>
  <c r="F752" i="13" s="1"/>
  <c r="E751" i="13"/>
  <c r="C744" i="13" s="1"/>
  <c r="F750" i="13"/>
  <c r="G804" i="13" s="1"/>
  <c r="J804" i="13" s="1"/>
  <c r="M804" i="13" s="1"/>
  <c r="E745" i="13"/>
  <c r="C745" i="13" s="1"/>
  <c r="C742" i="13"/>
  <c r="C726" i="13"/>
  <c r="F719" i="13"/>
  <c r="E719" i="13"/>
  <c r="D719" i="13"/>
  <c r="C719" i="13"/>
  <c r="F717" i="13"/>
  <c r="E717" i="13"/>
  <c r="D717" i="13"/>
  <c r="C717" i="13"/>
  <c r="D715" i="13"/>
  <c r="E715" i="13" s="1"/>
  <c r="F715" i="13" s="1"/>
  <c r="F712" i="13"/>
  <c r="E712" i="13"/>
  <c r="D712" i="13"/>
  <c r="C712" i="13"/>
  <c r="F710" i="13"/>
  <c r="E710" i="13"/>
  <c r="D710" i="13"/>
  <c r="C710" i="13"/>
  <c r="D708" i="13"/>
  <c r="E708" i="13" s="1"/>
  <c r="F708" i="13" s="1"/>
  <c r="F705" i="13"/>
  <c r="E705" i="13"/>
  <c r="D705" i="13"/>
  <c r="C705" i="13"/>
  <c r="F703" i="13"/>
  <c r="E703" i="13"/>
  <c r="D703" i="13"/>
  <c r="C703" i="13"/>
  <c r="D701" i="13"/>
  <c r="E701" i="13" s="1"/>
  <c r="F701" i="13" s="1"/>
  <c r="Q695" i="13"/>
  <c r="K719" i="13" s="1"/>
  <c r="P695" i="13"/>
  <c r="J719" i="13" s="1"/>
  <c r="O695" i="13"/>
  <c r="I719" i="13" s="1"/>
  <c r="N695" i="13"/>
  <c r="H719" i="13" s="1"/>
  <c r="M695" i="13"/>
  <c r="Q693" i="13"/>
  <c r="K717" i="13" s="1"/>
  <c r="P693" i="13"/>
  <c r="J717" i="13" s="1"/>
  <c r="O693" i="13"/>
  <c r="I717" i="13" s="1"/>
  <c r="N693" i="13"/>
  <c r="H717" i="13" s="1"/>
  <c r="M693" i="13"/>
  <c r="Q691" i="13"/>
  <c r="P691" i="13"/>
  <c r="O691" i="13"/>
  <c r="N691" i="13"/>
  <c r="M691" i="13"/>
  <c r="Q689" i="13"/>
  <c r="P689" i="13"/>
  <c r="O689" i="13"/>
  <c r="N689" i="13"/>
  <c r="M689" i="13"/>
  <c r="M685" i="13"/>
  <c r="Q683" i="13"/>
  <c r="K712" i="13" s="1"/>
  <c r="P683" i="13"/>
  <c r="J712" i="13" s="1"/>
  <c r="O683" i="13"/>
  <c r="I712" i="13" s="1"/>
  <c r="N683" i="13"/>
  <c r="H712" i="13" s="1"/>
  <c r="M683" i="13"/>
  <c r="Q681" i="13"/>
  <c r="K710" i="13" s="1"/>
  <c r="P681" i="13"/>
  <c r="J710" i="13" s="1"/>
  <c r="O681" i="13"/>
  <c r="I710" i="13" s="1"/>
  <c r="N681" i="13"/>
  <c r="H710" i="13" s="1"/>
  <c r="M681" i="13"/>
  <c r="Q679" i="13"/>
  <c r="P679" i="13"/>
  <c r="O679" i="13"/>
  <c r="N679" i="13"/>
  <c r="M679" i="13"/>
  <c r="Q677" i="13"/>
  <c r="P677" i="13"/>
  <c r="O677" i="13"/>
  <c r="N677" i="13"/>
  <c r="M677" i="13"/>
  <c r="M672" i="13"/>
  <c r="Q670" i="13"/>
  <c r="K705" i="13" s="1"/>
  <c r="P670" i="13"/>
  <c r="J705" i="13" s="1"/>
  <c r="O670" i="13"/>
  <c r="I705" i="13" s="1"/>
  <c r="N670" i="13"/>
  <c r="H705" i="13" s="1"/>
  <c r="M670" i="13"/>
  <c r="Q668" i="13"/>
  <c r="K703" i="13" s="1"/>
  <c r="P668" i="13"/>
  <c r="J703" i="13" s="1"/>
  <c r="O668" i="13"/>
  <c r="I703" i="13" s="1"/>
  <c r="N668" i="13"/>
  <c r="H703" i="13" s="1"/>
  <c r="M668" i="13"/>
  <c r="Q666" i="13"/>
  <c r="P666" i="13"/>
  <c r="O666" i="13"/>
  <c r="N666" i="13"/>
  <c r="M666" i="13"/>
  <c r="Q664" i="13"/>
  <c r="P664" i="13"/>
  <c r="O664" i="13"/>
  <c r="N664" i="13"/>
  <c r="M664" i="13"/>
  <c r="B513" i="13"/>
  <c r="B512" i="13"/>
  <c r="B511" i="13"/>
  <c r="B510" i="13"/>
  <c r="C489" i="13"/>
  <c r="C486" i="13"/>
  <c r="C488" i="13" s="1"/>
  <c r="C478" i="13"/>
  <c r="C475" i="13"/>
  <c r="C477" i="13" s="1"/>
  <c r="K465" i="13"/>
  <c r="K466" i="13" s="1"/>
  <c r="J465" i="13"/>
  <c r="J466" i="13" s="1"/>
  <c r="I465" i="13"/>
  <c r="I466" i="13" s="1"/>
  <c r="H465" i="13"/>
  <c r="H466" i="13" s="1"/>
  <c r="G465" i="13"/>
  <c r="G466" i="13" s="1"/>
  <c r="F465" i="13"/>
  <c r="F466" i="13" s="1"/>
  <c r="E465" i="13"/>
  <c r="E466" i="13" s="1"/>
  <c r="D465" i="13"/>
  <c r="D466" i="13" s="1"/>
  <c r="C465" i="13"/>
  <c r="C466" i="13" s="1"/>
  <c r="C460" i="13"/>
  <c r="C459" i="13" s="1"/>
  <c r="C456" i="13"/>
  <c r="C444" i="13"/>
  <c r="C445" i="13" s="1"/>
  <c r="C426" i="13"/>
  <c r="M409" i="13"/>
  <c r="L409" i="13"/>
  <c r="K409" i="13"/>
  <c r="J409" i="13"/>
  <c r="I409" i="13"/>
  <c r="H409" i="13"/>
  <c r="G409" i="13"/>
  <c r="F409" i="13"/>
  <c r="E409" i="13"/>
  <c r="D409" i="13"/>
  <c r="M408" i="13"/>
  <c r="L408" i="13"/>
  <c r="K408" i="13"/>
  <c r="J408" i="13"/>
  <c r="I408" i="13"/>
  <c r="H408" i="13"/>
  <c r="G408" i="13"/>
  <c r="F408" i="13"/>
  <c r="E408" i="13"/>
  <c r="D408" i="13"/>
  <c r="C408" i="13"/>
  <c r="M407" i="13"/>
  <c r="L407" i="13"/>
  <c r="K407" i="13"/>
  <c r="J407" i="13"/>
  <c r="I407" i="13"/>
  <c r="H407" i="13"/>
  <c r="G407" i="13"/>
  <c r="F407" i="13"/>
  <c r="E407" i="13"/>
  <c r="D407" i="13"/>
  <c r="N405" i="13"/>
  <c r="N396" i="13" s="1"/>
  <c r="M405" i="13"/>
  <c r="M396" i="13" s="1"/>
  <c r="L405" i="13"/>
  <c r="L396" i="13" s="1"/>
  <c r="K405" i="13"/>
  <c r="K396" i="13" s="1"/>
  <c r="J405" i="13"/>
  <c r="J396" i="13" s="1"/>
  <c r="I405" i="13"/>
  <c r="I396" i="13" s="1"/>
  <c r="H405" i="13"/>
  <c r="H396" i="13" s="1"/>
  <c r="G405" i="13"/>
  <c r="G396" i="13" s="1"/>
  <c r="F405" i="13"/>
  <c r="F396" i="13" s="1"/>
  <c r="E405" i="13"/>
  <c r="E396" i="13" s="1"/>
  <c r="D405" i="13"/>
  <c r="D396" i="13" s="1"/>
  <c r="C405" i="13"/>
  <c r="C396" i="13" s="1"/>
  <c r="N402" i="13"/>
  <c r="M402" i="13"/>
  <c r="L402" i="13"/>
  <c r="K402" i="13"/>
  <c r="J402" i="13"/>
  <c r="I402" i="13"/>
  <c r="H402" i="13"/>
  <c r="G402" i="13"/>
  <c r="E402" i="13"/>
  <c r="D402" i="13"/>
  <c r="C402" i="13"/>
  <c r="E393" i="13"/>
  <c r="D393" i="13"/>
  <c r="E392" i="13"/>
  <c r="D392" i="13"/>
  <c r="E386" i="13"/>
  <c r="E388" i="13" s="1"/>
  <c r="E389" i="13" s="1"/>
  <c r="D386" i="13"/>
  <c r="C386" i="13"/>
  <c r="B378" i="13"/>
  <c r="B377" i="13"/>
  <c r="B376" i="13"/>
  <c r="E372" i="13"/>
  <c r="E373" i="13" s="1"/>
  <c r="B364" i="13"/>
  <c r="B369" i="13" s="1"/>
  <c r="H363" i="13"/>
  <c r="H368" i="13" s="1"/>
  <c r="E363" i="13"/>
  <c r="E368" i="13" s="1"/>
  <c r="B363" i="13"/>
  <c r="B368" i="13" s="1"/>
  <c r="H362" i="13"/>
  <c r="H367" i="13" s="1"/>
  <c r="E362" i="13"/>
  <c r="E367" i="13" s="1"/>
  <c r="B362" i="13"/>
  <c r="B367" i="13" s="1"/>
  <c r="H359" i="13"/>
  <c r="G218" i="3" s="1"/>
  <c r="E359" i="13"/>
  <c r="H354" i="13"/>
  <c r="E354" i="13"/>
  <c r="F346" i="13"/>
  <c r="F348" i="13" s="1"/>
  <c r="E346" i="13"/>
  <c r="E348" i="13" s="1"/>
  <c r="E378" i="13" s="1"/>
  <c r="D346" i="13"/>
  <c r="D348" i="13" s="1"/>
  <c r="C346" i="13"/>
  <c r="C348" i="13" s="1"/>
  <c r="F340" i="13"/>
  <c r="F342" i="13" s="1"/>
  <c r="E340" i="13"/>
  <c r="E342" i="13" s="1"/>
  <c r="D340" i="13"/>
  <c r="D342" i="13" s="1"/>
  <c r="C340" i="13"/>
  <c r="C342" i="13" s="1"/>
  <c r="I297" i="13"/>
  <c r="H297" i="13"/>
  <c r="G297" i="13"/>
  <c r="F297" i="13"/>
  <c r="E297" i="13"/>
  <c r="D297" i="13"/>
  <c r="C297" i="13"/>
  <c r="F294" i="13"/>
  <c r="F293" i="13"/>
  <c r="F292" i="13"/>
  <c r="F291" i="13"/>
  <c r="C289" i="13"/>
  <c r="B289" i="13"/>
  <c r="F288" i="13"/>
  <c r="D288" i="13"/>
  <c r="F287" i="13"/>
  <c r="C284" i="13"/>
  <c r="C285" i="13" s="1"/>
  <c r="B284" i="13"/>
  <c r="B288" i="13" s="1"/>
  <c r="F283" i="13"/>
  <c r="B283" i="13"/>
  <c r="B287" i="13" s="1"/>
  <c r="F278" i="13"/>
  <c r="E272" i="13"/>
  <c r="D272" i="13"/>
  <c r="C272" i="13"/>
  <c r="D269" i="13"/>
  <c r="C269" i="13"/>
  <c r="D265" i="13"/>
  <c r="E265" i="13" s="1"/>
  <c r="F265" i="13" s="1"/>
  <c r="G265" i="13" s="1"/>
  <c r="H265" i="13" s="1"/>
  <c r="I265" i="13" s="1"/>
  <c r="J265" i="13" s="1"/>
  <c r="D258" i="13"/>
  <c r="C258" i="13"/>
  <c r="B258" i="13"/>
  <c r="B261" i="13" s="1"/>
  <c r="B257" i="13"/>
  <c r="B260" i="13" s="1"/>
  <c r="C255" i="13"/>
  <c r="C254" i="13"/>
  <c r="C260" i="13" s="1"/>
  <c r="E230" i="13"/>
  <c r="D230" i="13"/>
  <c r="C230" i="13"/>
  <c r="E228" i="13"/>
  <c r="D228" i="13"/>
  <c r="C228" i="13"/>
  <c r="E227" i="13"/>
  <c r="C227" i="13"/>
  <c r="E214" i="13"/>
  <c r="D214" i="13"/>
  <c r="C214" i="13"/>
  <c r="F213" i="13"/>
  <c r="R204" i="13"/>
  <c r="R190" i="13"/>
  <c r="R186" i="13"/>
  <c r="D181" i="13"/>
  <c r="C181" i="13"/>
  <c r="P180" i="13"/>
  <c r="P179" i="13"/>
  <c r="R175" i="13"/>
  <c r="R171" i="13"/>
  <c r="R180" i="13" s="1"/>
  <c r="R170" i="13"/>
  <c r="R179" i="13" s="1"/>
  <c r="U167" i="13"/>
  <c r="T167" i="13"/>
  <c r="R166" i="13"/>
  <c r="Q166" i="13"/>
  <c r="P166" i="13"/>
  <c r="R165" i="13"/>
  <c r="Q165" i="13"/>
  <c r="S161" i="13"/>
  <c r="D322" i="13" s="1"/>
  <c r="R161" i="13"/>
  <c r="S159" i="13"/>
  <c r="R145" i="13" s="1"/>
  <c r="R159" i="13"/>
  <c r="Q145" i="13" s="1"/>
  <c r="S152" i="13"/>
  <c r="R152" i="13"/>
  <c r="E96" i="13" s="1"/>
  <c r="Q152" i="13"/>
  <c r="D96" i="13"/>
  <c r="C77" i="13"/>
  <c r="E67" i="13"/>
  <c r="D67" i="13"/>
  <c r="C67" i="13"/>
  <c r="F65" i="13"/>
  <c r="G65" i="13" s="1"/>
  <c r="M61" i="13"/>
  <c r="L61" i="13"/>
  <c r="K61" i="13"/>
  <c r="J61" i="13"/>
  <c r="I61" i="13"/>
  <c r="H61" i="13"/>
  <c r="G61" i="13"/>
  <c r="F61" i="13"/>
  <c r="E61" i="13"/>
  <c r="D61" i="13"/>
  <c r="C61" i="13"/>
  <c r="F45" i="13"/>
  <c r="O18" i="13"/>
  <c r="N18" i="13"/>
  <c r="M18" i="13"/>
  <c r="L18" i="13"/>
  <c r="K18" i="13"/>
  <c r="J18" i="13"/>
  <c r="I18" i="13"/>
  <c r="H18" i="13"/>
  <c r="G18" i="13"/>
  <c r="F18" i="13"/>
  <c r="E18" i="13"/>
  <c r="D18" i="13"/>
  <c r="C18" i="13"/>
  <c r="O15" i="13"/>
  <c r="N15" i="13"/>
  <c r="M15" i="13"/>
  <c r="L15" i="13"/>
  <c r="K15" i="13"/>
  <c r="J15" i="13"/>
  <c r="I15" i="13"/>
  <c r="H15" i="13"/>
  <c r="G15" i="13"/>
  <c r="F15" i="13"/>
  <c r="E15" i="13"/>
  <c r="D15" i="13"/>
  <c r="C15" i="13"/>
  <c r="F9" i="13"/>
  <c r="F7" i="13"/>
  <c r="O4" i="13"/>
  <c r="N4" i="13"/>
  <c r="M4" i="13"/>
  <c r="L4" i="13"/>
  <c r="K4" i="13"/>
  <c r="J4" i="13"/>
  <c r="I4" i="13"/>
  <c r="G4" i="13"/>
  <c r="E4" i="13"/>
  <c r="E12" i="13" s="1"/>
  <c r="D4" i="13"/>
  <c r="D12" i="13" s="1"/>
  <c r="C4" i="13"/>
  <c r="C12" i="13" s="1"/>
  <c r="C528" i="10"/>
  <c r="B528" i="10"/>
  <c r="B527" i="10"/>
  <c r="C526" i="10"/>
  <c r="B526" i="10"/>
  <c r="B524" i="10"/>
  <c r="C523" i="10"/>
  <c r="B523" i="10"/>
  <c r="C522" i="10"/>
  <c r="B522" i="10"/>
  <c r="B521" i="10"/>
  <c r="C520" i="10"/>
  <c r="B520" i="10"/>
  <c r="E516" i="10"/>
  <c r="D516" i="10"/>
  <c r="C516" i="10"/>
  <c r="B516" i="10"/>
  <c r="E515" i="10"/>
  <c r="D515" i="10"/>
  <c r="C515" i="10"/>
  <c r="B515" i="10"/>
  <c r="E514" i="10"/>
  <c r="D514" i="10"/>
  <c r="C514" i="10"/>
  <c r="B514" i="10"/>
  <c r="C513" i="10"/>
  <c r="B513" i="10"/>
  <c r="F508" i="10"/>
  <c r="E508" i="10"/>
  <c r="D508" i="10"/>
  <c r="C508" i="10"/>
  <c r="A508" i="10"/>
  <c r="B503" i="10"/>
  <c r="B502" i="10"/>
  <c r="A502" i="10"/>
  <c r="B500" i="10"/>
  <c r="B499" i="10"/>
  <c r="B497" i="10"/>
  <c r="B496" i="10"/>
  <c r="B495" i="10"/>
  <c r="B490" i="10"/>
  <c r="A490" i="10"/>
  <c r="E489" i="10"/>
  <c r="D489" i="10"/>
  <c r="B489" i="10"/>
  <c r="A489" i="10"/>
  <c r="D488" i="10"/>
  <c r="D480" i="10" s="1"/>
  <c r="C488" i="10"/>
  <c r="C480" i="10" s="1"/>
  <c r="B488" i="10"/>
  <c r="A488" i="10"/>
  <c r="I481" i="10"/>
  <c r="A481" i="10"/>
  <c r="D479" i="10"/>
  <c r="C479" i="10"/>
  <c r="C478" i="10"/>
  <c r="C512" i="10" s="1"/>
  <c r="B478" i="10"/>
  <c r="B512" i="10" s="1"/>
  <c r="A478" i="10"/>
  <c r="B475" i="10"/>
  <c r="A475" i="10"/>
  <c r="A469" i="10"/>
  <c r="O468" i="10"/>
  <c r="N468" i="10"/>
  <c r="M468" i="10"/>
  <c r="L468" i="10"/>
  <c r="K468" i="10"/>
  <c r="J468" i="10"/>
  <c r="I468" i="10"/>
  <c r="D468" i="10"/>
  <c r="C468" i="10"/>
  <c r="A468" i="10"/>
  <c r="A467" i="10"/>
  <c r="H465" i="10"/>
  <c r="G465" i="10"/>
  <c r="E465" i="10"/>
  <c r="D465" i="10"/>
  <c r="C465" i="10"/>
  <c r="A465" i="10"/>
  <c r="A464" i="10"/>
  <c r="O463" i="10"/>
  <c r="O474" i="10" s="1"/>
  <c r="B463" i="10"/>
  <c r="B474" i="10" s="1"/>
  <c r="A463" i="10"/>
  <c r="A474" i="10" s="1"/>
  <c r="E462" i="10"/>
  <c r="D462" i="10"/>
  <c r="C462" i="10"/>
  <c r="B462" i="10"/>
  <c r="A462" i="10"/>
  <c r="O461" i="10"/>
  <c r="N461" i="10"/>
  <c r="M461" i="10"/>
  <c r="L461" i="10"/>
  <c r="K461" i="10"/>
  <c r="J461" i="10"/>
  <c r="I461" i="10"/>
  <c r="H461" i="10"/>
  <c r="G461" i="10"/>
  <c r="F461" i="10"/>
  <c r="E461" i="10"/>
  <c r="D461" i="10"/>
  <c r="C461" i="10"/>
  <c r="B461" i="10"/>
  <c r="A461" i="10"/>
  <c r="O460" i="10"/>
  <c r="O494" i="10" s="1"/>
  <c r="O512" i="10" s="1"/>
  <c r="N460" i="10"/>
  <c r="N494" i="10" s="1"/>
  <c r="N512" i="10" s="1"/>
  <c r="M460" i="10"/>
  <c r="M494" i="10" s="1"/>
  <c r="M512" i="10" s="1"/>
  <c r="L460" i="10"/>
  <c r="L494" i="10" s="1"/>
  <c r="L512" i="10" s="1"/>
  <c r="K460" i="10"/>
  <c r="K494" i="10" s="1"/>
  <c r="K512" i="10" s="1"/>
  <c r="J460" i="10"/>
  <c r="J494" i="10" s="1"/>
  <c r="J512" i="10" s="1"/>
  <c r="I460" i="10"/>
  <c r="I494" i="10" s="1"/>
  <c r="I512" i="10" s="1"/>
  <c r="H460" i="10"/>
  <c r="H494" i="10" s="1"/>
  <c r="H512" i="10" s="1"/>
  <c r="G460" i="10"/>
  <c r="G494" i="10" s="1"/>
  <c r="G512" i="10" s="1"/>
  <c r="F460" i="10"/>
  <c r="F494" i="10" s="1"/>
  <c r="F512" i="10" s="1"/>
  <c r="E460" i="10"/>
  <c r="E494" i="10" s="1"/>
  <c r="E512" i="10" s="1"/>
  <c r="D460" i="10"/>
  <c r="D494" i="10" s="1"/>
  <c r="D512" i="10" s="1"/>
  <c r="C460" i="10"/>
  <c r="C494" i="10" s="1"/>
  <c r="B460" i="10"/>
  <c r="B494" i="10" s="1"/>
  <c r="F440" i="10"/>
  <c r="F439" i="10"/>
  <c r="F438" i="10"/>
  <c r="E400" i="10"/>
  <c r="D400" i="10"/>
  <c r="V396" i="10" s="1"/>
  <c r="C400" i="10"/>
  <c r="U396" i="10" s="1"/>
  <c r="T398" i="10"/>
  <c r="E398" i="10"/>
  <c r="D398" i="10"/>
  <c r="C398" i="10"/>
  <c r="X396" i="10"/>
  <c r="T396" i="10"/>
  <c r="E388" i="10"/>
  <c r="F381" i="10"/>
  <c r="E381" i="10"/>
  <c r="D381" i="10"/>
  <c r="C381" i="10"/>
  <c r="G366" i="10"/>
  <c r="H366" i="10" s="1"/>
  <c r="I366" i="10" s="1"/>
  <c r="J366" i="10" s="1"/>
  <c r="K366" i="10" s="1"/>
  <c r="L366" i="10" s="1"/>
  <c r="M366" i="10" s="1"/>
  <c r="N366" i="10" s="1"/>
  <c r="O366" i="10" s="1"/>
  <c r="E366" i="10"/>
  <c r="D366" i="10"/>
  <c r="C366" i="10"/>
  <c r="B366" i="10"/>
  <c r="I361" i="10"/>
  <c r="J361" i="10" s="1"/>
  <c r="K361" i="10" s="1"/>
  <c r="L361" i="10" s="1"/>
  <c r="M361" i="10" s="1"/>
  <c r="N361" i="10" s="1"/>
  <c r="O361" i="10" s="1"/>
  <c r="G354" i="10"/>
  <c r="H354" i="10" s="1"/>
  <c r="I354" i="10" s="1"/>
  <c r="J354" i="10" s="1"/>
  <c r="K354" i="10" s="1"/>
  <c r="L354" i="10" s="1"/>
  <c r="M354" i="10" s="1"/>
  <c r="N354" i="10" s="1"/>
  <c r="O354" i="10" s="1"/>
  <c r="O353" i="10"/>
  <c r="N353" i="10"/>
  <c r="M353" i="10"/>
  <c r="L353" i="10"/>
  <c r="K353" i="10"/>
  <c r="J353" i="10"/>
  <c r="I353" i="10"/>
  <c r="H353" i="10"/>
  <c r="G353" i="10"/>
  <c r="F353" i="10"/>
  <c r="E353" i="10"/>
  <c r="D353" i="10"/>
  <c r="C353" i="10"/>
  <c r="B353" i="10"/>
  <c r="K348" i="10"/>
  <c r="L348" i="10" s="1"/>
  <c r="M348" i="10" s="1"/>
  <c r="N348" i="10" s="1"/>
  <c r="O348" i="10" s="1"/>
  <c r="G341" i="10"/>
  <c r="H341" i="10" s="1"/>
  <c r="E341" i="10"/>
  <c r="D341" i="10"/>
  <c r="C341" i="10"/>
  <c r="B341" i="10"/>
  <c r="E340" i="10"/>
  <c r="F339" i="10"/>
  <c r="F340" i="10" s="1"/>
  <c r="O333" i="10"/>
  <c r="N332" i="10"/>
  <c r="N333" i="10" s="1"/>
  <c r="J326" i="10"/>
  <c r="K326" i="10" s="1"/>
  <c r="L326" i="10" s="1"/>
  <c r="M326" i="10" s="1"/>
  <c r="N326" i="10" s="1"/>
  <c r="O326" i="10" s="1"/>
  <c r="G326" i="10"/>
  <c r="B325" i="10"/>
  <c r="F272" i="13"/>
  <c r="F296" i="10"/>
  <c r="G296" i="10" s="1"/>
  <c r="H296" i="10" s="1"/>
  <c r="I296" i="10" s="1"/>
  <c r="P295" i="10"/>
  <c r="F295" i="10"/>
  <c r="E295" i="10"/>
  <c r="D295" i="10"/>
  <c r="C295" i="10"/>
  <c r="A295" i="10"/>
  <c r="F292" i="10"/>
  <c r="G292" i="10" s="1"/>
  <c r="H292" i="10" s="1"/>
  <c r="I292" i="10" s="1"/>
  <c r="P291" i="10"/>
  <c r="F291" i="10"/>
  <c r="E291" i="10"/>
  <c r="D291" i="10"/>
  <c r="C291" i="10"/>
  <c r="A291" i="10"/>
  <c r="F280" i="10"/>
  <c r="G280" i="10" s="1"/>
  <c r="C276" i="10"/>
  <c r="H275" i="10"/>
  <c r="I275" i="10" s="1"/>
  <c r="J275" i="10" s="1"/>
  <c r="K275" i="10" s="1"/>
  <c r="L275" i="10" s="1"/>
  <c r="M275" i="10" s="1"/>
  <c r="N275" i="10" s="1"/>
  <c r="O275" i="10" s="1"/>
  <c r="E274" i="10"/>
  <c r="F274" i="10" s="1"/>
  <c r="G274" i="10" s="1"/>
  <c r="H274" i="10" s="1"/>
  <c r="I274" i="10" s="1"/>
  <c r="J274" i="10" s="1"/>
  <c r="K274" i="10" s="1"/>
  <c r="L274" i="10" s="1"/>
  <c r="M274" i="10" s="1"/>
  <c r="N274" i="10" s="1"/>
  <c r="O274" i="10" s="1"/>
  <c r="D273" i="10"/>
  <c r="F268" i="10"/>
  <c r="E268" i="10"/>
  <c r="D268" i="10"/>
  <c r="C268" i="10"/>
  <c r="F257" i="10"/>
  <c r="G257" i="10" s="1"/>
  <c r="H257" i="10" s="1"/>
  <c r="I257" i="10" s="1"/>
  <c r="J257" i="10" s="1"/>
  <c r="K257" i="10" s="1"/>
  <c r="L257" i="10" s="1"/>
  <c r="M257" i="10" s="1"/>
  <c r="N257" i="10" s="1"/>
  <c r="O257" i="10" s="1"/>
  <c r="F256" i="10"/>
  <c r="D252" i="10"/>
  <c r="C252" i="10"/>
  <c r="C527" i="10" s="1"/>
  <c r="G251" i="10"/>
  <c r="H251" i="10" s="1"/>
  <c r="I251" i="10" s="1"/>
  <c r="J251" i="10" s="1"/>
  <c r="K251" i="10" s="1"/>
  <c r="L251" i="10" s="1"/>
  <c r="M251" i="10" s="1"/>
  <c r="N251" i="10" s="1"/>
  <c r="O251" i="10" s="1"/>
  <c r="G250" i="10"/>
  <c r="H250" i="10" s="1"/>
  <c r="I250" i="10" s="1"/>
  <c r="J250" i="10" s="1"/>
  <c r="K250" i="10" s="1"/>
  <c r="L250" i="10" s="1"/>
  <c r="M250" i="10" s="1"/>
  <c r="N250" i="10" s="1"/>
  <c r="O250" i="10" s="1"/>
  <c r="E249" i="10"/>
  <c r="F249" i="10" s="1"/>
  <c r="F244" i="10"/>
  <c r="E244" i="10"/>
  <c r="D244" i="10"/>
  <c r="C244" i="10"/>
  <c r="G243" i="10"/>
  <c r="H243" i="10" s="1"/>
  <c r="H244" i="10" s="1"/>
  <c r="E220" i="10"/>
  <c r="D220" i="10"/>
  <c r="F205" i="10"/>
  <c r="E205" i="10"/>
  <c r="D205" i="10"/>
  <c r="C205" i="10"/>
  <c r="E502" i="10"/>
  <c r="D502" i="10"/>
  <c r="C502" i="10"/>
  <c r="F165" i="10"/>
  <c r="E36" i="14" s="1"/>
  <c r="O164" i="10"/>
  <c r="N37" i="14" s="1"/>
  <c r="AN37" i="14" s="1"/>
  <c r="E164" i="10"/>
  <c r="D37" i="14" s="1"/>
  <c r="D164" i="10"/>
  <c r="C37" i="14" s="1"/>
  <c r="C164" i="10"/>
  <c r="C163" i="10" s="1"/>
  <c r="B164" i="10"/>
  <c r="B165" i="10" s="1"/>
  <c r="F163" i="10"/>
  <c r="E38" i="14" s="1"/>
  <c r="E147" i="10"/>
  <c r="D147" i="10"/>
  <c r="C147" i="10"/>
  <c r="F134" i="10"/>
  <c r="E28" i="14" s="1"/>
  <c r="O133" i="10"/>
  <c r="N29" i="14" s="1"/>
  <c r="AN29" i="14" s="1"/>
  <c r="E133" i="10"/>
  <c r="D29" i="14" s="1"/>
  <c r="D133" i="10"/>
  <c r="C29" i="14" s="1"/>
  <c r="C133" i="10"/>
  <c r="C132" i="10" s="1"/>
  <c r="B133" i="10"/>
  <c r="B134" i="10" s="1"/>
  <c r="F132" i="10"/>
  <c r="F133" i="10" s="1"/>
  <c r="D117" i="10"/>
  <c r="D71" i="10" s="1"/>
  <c r="C117" i="10"/>
  <c r="C71" i="10" s="1"/>
  <c r="D115" i="10"/>
  <c r="D69" i="10" s="1"/>
  <c r="C115" i="10"/>
  <c r="C69" i="10" s="1"/>
  <c r="D97" i="10"/>
  <c r="C97" i="10"/>
  <c r="I81" i="10"/>
  <c r="J81" i="10" s="1"/>
  <c r="F81" i="10"/>
  <c r="O80" i="10"/>
  <c r="E80" i="10"/>
  <c r="E79" i="10" s="1"/>
  <c r="D80" i="10"/>
  <c r="C80" i="10"/>
  <c r="C464" i="10" s="1"/>
  <c r="B80" i="10"/>
  <c r="B464" i="10" s="1"/>
  <c r="D39" i="10"/>
  <c r="C39" i="10"/>
  <c r="U397" i="10" s="1"/>
  <c r="D37" i="10"/>
  <c r="C37" i="10"/>
  <c r="C507" i="10" s="1"/>
  <c r="F20" i="10"/>
  <c r="F22" i="10" s="1"/>
  <c r="E20" i="10"/>
  <c r="E22" i="10" s="1"/>
  <c r="D20" i="10"/>
  <c r="D22" i="10" s="1"/>
  <c r="C20" i="10"/>
  <c r="C22" i="10" s="1"/>
  <c r="F14" i="10"/>
  <c r="D8" i="10"/>
  <c r="D325" i="10" s="1"/>
  <c r="C8" i="10"/>
  <c r="H4" i="10"/>
  <c r="H368" i="10" s="1"/>
  <c r="G4" i="10"/>
  <c r="F4" i="10"/>
  <c r="F368" i="10" s="1"/>
  <c r="E4" i="10"/>
  <c r="D4" i="10"/>
  <c r="D221" i="10" s="1"/>
  <c r="C4" i="10"/>
  <c r="C221" i="10" s="1"/>
  <c r="AF309" i="19"/>
  <c r="AF306" i="19"/>
  <c r="AF303" i="19"/>
  <c r="N281" i="19"/>
  <c r="M281" i="19"/>
  <c r="K281" i="19"/>
  <c r="H281" i="19"/>
  <c r="G281" i="19"/>
  <c r="F281" i="19"/>
  <c r="E281" i="19"/>
  <c r="D281" i="19"/>
  <c r="D279" i="19"/>
  <c r="D278" i="19"/>
  <c r="N274" i="19"/>
  <c r="M274" i="19"/>
  <c r="K274" i="19"/>
  <c r="H274" i="19"/>
  <c r="G274" i="19"/>
  <c r="F274" i="19"/>
  <c r="E274" i="19"/>
  <c r="D274" i="19"/>
  <c r="D272" i="19"/>
  <c r="D271" i="19"/>
  <c r="N262" i="19"/>
  <c r="M262" i="19"/>
  <c r="K262" i="19"/>
  <c r="H262" i="19"/>
  <c r="G262" i="19"/>
  <c r="F262" i="19"/>
  <c r="E262" i="19"/>
  <c r="N261" i="19"/>
  <c r="M261" i="19"/>
  <c r="K261" i="19"/>
  <c r="G261" i="19"/>
  <c r="F261" i="19"/>
  <c r="E261" i="19"/>
  <c r="N251" i="19"/>
  <c r="N269" i="19" s="1"/>
  <c r="M251" i="19"/>
  <c r="M269" i="19" s="1"/>
  <c r="K251" i="19"/>
  <c r="K269" i="19" s="1"/>
  <c r="H251" i="19"/>
  <c r="H269" i="19" s="1"/>
  <c r="G251" i="19"/>
  <c r="G269" i="19" s="1"/>
  <c r="F251" i="19"/>
  <c r="F269" i="19" s="1"/>
  <c r="E251" i="19"/>
  <c r="E269" i="19" s="1"/>
  <c r="D251" i="19"/>
  <c r="D269" i="19" s="1"/>
  <c r="C251" i="19"/>
  <c r="C269" i="19" s="1"/>
  <c r="U201" i="19"/>
  <c r="U205" i="19" s="1"/>
  <c r="K215" i="19" s="1"/>
  <c r="T201" i="19"/>
  <c r="S201" i="19"/>
  <c r="R201" i="19"/>
  <c r="R205" i="19" s="1"/>
  <c r="Q201" i="19"/>
  <c r="Q205" i="19" s="1"/>
  <c r="P201" i="19"/>
  <c r="P204" i="19" s="1"/>
  <c r="D214" i="19" s="1"/>
  <c r="O201" i="19"/>
  <c r="N201" i="19"/>
  <c r="M201" i="19"/>
  <c r="K201" i="19"/>
  <c r="H201" i="19"/>
  <c r="G201" i="19"/>
  <c r="F201" i="19"/>
  <c r="F205" i="19" s="1"/>
  <c r="U199" i="19"/>
  <c r="T199" i="19"/>
  <c r="S199" i="19"/>
  <c r="R199" i="19"/>
  <c r="Q199" i="19"/>
  <c r="P199" i="19"/>
  <c r="O199" i="19"/>
  <c r="N199" i="19"/>
  <c r="M199" i="19"/>
  <c r="K199" i="19"/>
  <c r="H199" i="19"/>
  <c r="G199" i="19"/>
  <c r="F199" i="19"/>
  <c r="E178" i="19"/>
  <c r="D178" i="19"/>
  <c r="C178" i="19"/>
  <c r="N174" i="19"/>
  <c r="M174" i="19"/>
  <c r="K174" i="19"/>
  <c r="H174" i="19"/>
  <c r="G174" i="19"/>
  <c r="F174" i="19"/>
  <c r="N173" i="19"/>
  <c r="M173" i="19"/>
  <c r="K173" i="19"/>
  <c r="H173" i="19"/>
  <c r="G173" i="19"/>
  <c r="F173" i="19"/>
  <c r="N171" i="19"/>
  <c r="M171" i="19"/>
  <c r="K171" i="19"/>
  <c r="H171" i="19"/>
  <c r="G171" i="19"/>
  <c r="F171" i="19"/>
  <c r="E171" i="19"/>
  <c r="D171" i="19"/>
  <c r="C171" i="19"/>
  <c r="N170" i="19"/>
  <c r="M170" i="19"/>
  <c r="K170" i="19"/>
  <c r="H170" i="19"/>
  <c r="G170" i="19"/>
  <c r="F170" i="19"/>
  <c r="E170" i="19"/>
  <c r="D170" i="19"/>
  <c r="C170" i="19"/>
  <c r="AD120" i="19"/>
  <c r="AC120" i="19"/>
  <c r="AB120" i="19"/>
  <c r="AA120" i="19"/>
  <c r="AD119" i="19"/>
  <c r="AC119" i="19"/>
  <c r="AB119" i="19"/>
  <c r="AA119" i="19"/>
  <c r="H105" i="19"/>
  <c r="G105" i="19"/>
  <c r="F105" i="19"/>
  <c r="E105" i="19"/>
  <c r="D105" i="19"/>
  <c r="C105" i="19"/>
  <c r="G101" i="19"/>
  <c r="F101" i="19"/>
  <c r="E101" i="19"/>
  <c r="D101" i="19"/>
  <c r="G86" i="19"/>
  <c r="F86" i="19"/>
  <c r="G81" i="19"/>
  <c r="H82" i="19" s="1"/>
  <c r="F81" i="19"/>
  <c r="E81" i="19"/>
  <c r="D81" i="19"/>
  <c r="B13" i="19"/>
  <c r="B12" i="19"/>
  <c r="B9" i="19"/>
  <c r="M453" i="3"/>
  <c r="K453" i="3"/>
  <c r="J453" i="3"/>
  <c r="I453" i="3"/>
  <c r="H453" i="3"/>
  <c r="G441" i="3"/>
  <c r="N266" i="19"/>
  <c r="N265" i="19"/>
  <c r="H261" i="19"/>
  <c r="G260" i="19"/>
  <c r="F260" i="19"/>
  <c r="M417" i="3"/>
  <c r="M313" i="3" s="1"/>
  <c r="K417" i="3"/>
  <c r="J417" i="3"/>
  <c r="I417" i="3"/>
  <c r="J313" i="3" s="1"/>
  <c r="H417" i="3"/>
  <c r="G417" i="3"/>
  <c r="M416" i="3"/>
  <c r="K416" i="3"/>
  <c r="C253" i="19" s="1"/>
  <c r="J416" i="3"/>
  <c r="I416" i="3"/>
  <c r="J309" i="3" s="1"/>
  <c r="H416" i="3"/>
  <c r="G416" i="3"/>
  <c r="C402" i="3"/>
  <c r="C296" i="19" s="1"/>
  <c r="F397" i="3"/>
  <c r="E177" i="19" s="1"/>
  <c r="E397" i="3"/>
  <c r="D177" i="19" s="1"/>
  <c r="D397" i="3"/>
  <c r="C177" i="19" s="1"/>
  <c r="L382" i="3"/>
  <c r="L381" i="3"/>
  <c r="K381" i="3" s="1"/>
  <c r="L380" i="3"/>
  <c r="K380" i="3" s="1"/>
  <c r="L379" i="3"/>
  <c r="K379" i="3" s="1"/>
  <c r="L378" i="3"/>
  <c r="K378" i="3" s="1"/>
  <c r="V370" i="3"/>
  <c r="M370" i="3"/>
  <c r="M373" i="3" s="1"/>
  <c r="L370" i="3"/>
  <c r="K370" i="3"/>
  <c r="K373" i="3" s="1"/>
  <c r="J370" i="3"/>
  <c r="J373" i="3" s="1"/>
  <c r="I370" i="3"/>
  <c r="I373" i="3" s="1"/>
  <c r="M367" i="3"/>
  <c r="J367" i="3"/>
  <c r="I367" i="3"/>
  <c r="H367" i="3"/>
  <c r="L366" i="3"/>
  <c r="M365" i="3"/>
  <c r="J365" i="3"/>
  <c r="I365" i="3"/>
  <c r="H365" i="3"/>
  <c r="M330" i="3"/>
  <c r="K330" i="3"/>
  <c r="M328" i="3"/>
  <c r="K328" i="3"/>
  <c r="J328" i="3"/>
  <c r="I328" i="3"/>
  <c r="H328" i="3"/>
  <c r="G328" i="3"/>
  <c r="F328" i="3"/>
  <c r="E328" i="3"/>
  <c r="D328" i="3"/>
  <c r="B318" i="3"/>
  <c r="B323" i="3" s="1"/>
  <c r="B328" i="3" s="1"/>
  <c r="B317" i="3"/>
  <c r="B322" i="3" s="1"/>
  <c r="B327" i="3" s="1"/>
  <c r="B316" i="3"/>
  <c r="B321" i="3" s="1"/>
  <c r="B326" i="3" s="1"/>
  <c r="M305" i="3"/>
  <c r="D284" i="19" s="1"/>
  <c r="K305" i="3"/>
  <c r="C284" i="19" s="1"/>
  <c r="J305" i="3"/>
  <c r="I305" i="3"/>
  <c r="H305" i="3"/>
  <c r="K302" i="3"/>
  <c r="C281" i="19" s="1"/>
  <c r="M301" i="3"/>
  <c r="L301" i="3"/>
  <c r="L303" i="3" s="1"/>
  <c r="J301" i="3"/>
  <c r="J303" i="3" s="1"/>
  <c r="H301" i="3"/>
  <c r="H303" i="3" s="1"/>
  <c r="K300" i="3"/>
  <c r="K299" i="3"/>
  <c r="K295" i="3"/>
  <c r="C274" i="19" s="1"/>
  <c r="M294" i="3"/>
  <c r="D273" i="19" s="1"/>
  <c r="L294" i="3"/>
  <c r="L296" i="3" s="1"/>
  <c r="J294" i="3"/>
  <c r="J296" i="3" s="1"/>
  <c r="H294" i="3"/>
  <c r="H296" i="3" s="1"/>
  <c r="K293" i="3"/>
  <c r="M248" i="3"/>
  <c r="K248" i="3"/>
  <c r="J248" i="3"/>
  <c r="J393" i="3" s="1"/>
  <c r="I248" i="3"/>
  <c r="I393" i="3" s="1"/>
  <c r="H248" i="3"/>
  <c r="H393" i="3" s="1"/>
  <c r="G248" i="3"/>
  <c r="D226" i="19"/>
  <c r="E225" i="19"/>
  <c r="C225" i="19"/>
  <c r="M240" i="3"/>
  <c r="K240" i="3"/>
  <c r="J240" i="3"/>
  <c r="I240" i="3"/>
  <c r="H240" i="3"/>
  <c r="M239" i="3"/>
  <c r="K239" i="3"/>
  <c r="J239" i="3"/>
  <c r="I239" i="3"/>
  <c r="H239" i="3"/>
  <c r="M236" i="3"/>
  <c r="H138" i="19" s="1"/>
  <c r="K236" i="3"/>
  <c r="G138" i="19" s="1"/>
  <c r="J236" i="3"/>
  <c r="F138" i="19" s="1"/>
  <c r="I236" i="3"/>
  <c r="E138" i="19" s="1"/>
  <c r="H236" i="3"/>
  <c r="G236" i="3"/>
  <c r="C236" i="3"/>
  <c r="K225" i="3"/>
  <c r="J225" i="3"/>
  <c r="I225" i="3"/>
  <c r="L224" i="3"/>
  <c r="G224" i="3"/>
  <c r="I219" i="3"/>
  <c r="M218" i="3"/>
  <c r="AF208" i="3"/>
  <c r="AE208" i="3"/>
  <c r="AF198" i="3"/>
  <c r="AF94" i="3"/>
  <c r="AE94" i="3"/>
  <c r="AD94" i="3"/>
  <c r="L94" i="3"/>
  <c r="AF92" i="3"/>
  <c r="AE92" i="3"/>
  <c r="AD92" i="3"/>
  <c r="L92" i="3"/>
  <c r="AF86" i="3"/>
  <c r="AE86" i="3"/>
  <c r="AD86" i="3"/>
  <c r="V86" i="3"/>
  <c r="Q86" i="3"/>
  <c r="L86" i="3"/>
  <c r="M83" i="3"/>
  <c r="K83" i="3"/>
  <c r="J83" i="3"/>
  <c r="I83" i="3"/>
  <c r="H83" i="3"/>
  <c r="G83" i="3"/>
  <c r="F83" i="3"/>
  <c r="E83" i="3"/>
  <c r="AF80" i="3"/>
  <c r="AE80" i="3"/>
  <c r="AD80" i="3"/>
  <c r="V80" i="3"/>
  <c r="Q80" i="3"/>
  <c r="L80" i="3"/>
  <c r="AF77" i="3"/>
  <c r="AE77" i="3"/>
  <c r="AD77" i="3"/>
  <c r="L77" i="3"/>
  <c r="AF71" i="3"/>
  <c r="AE71" i="3"/>
  <c r="AD71" i="3"/>
  <c r="L71" i="3"/>
  <c r="AF68" i="3"/>
  <c r="AE68" i="3"/>
  <c r="AD68" i="3"/>
  <c r="L68" i="3"/>
  <c r="M63" i="3"/>
  <c r="G409" i="19" s="1"/>
  <c r="G414" i="19" s="1"/>
  <c r="G419" i="19" s="1"/>
  <c r="K63" i="3"/>
  <c r="F409" i="19" s="1"/>
  <c r="F414" i="19" s="1"/>
  <c r="F419" i="19" s="1"/>
  <c r="J63" i="3"/>
  <c r="E409" i="19" s="1"/>
  <c r="E414" i="19" s="1"/>
  <c r="E419" i="19" s="1"/>
  <c r="I63" i="3"/>
  <c r="D409" i="19" s="1"/>
  <c r="D414" i="19" s="1"/>
  <c r="D419" i="19" s="1"/>
  <c r="G63" i="3"/>
  <c r="F63" i="3"/>
  <c r="E63" i="3"/>
  <c r="M55" i="3"/>
  <c r="K55" i="3"/>
  <c r="J55" i="3"/>
  <c r="I55" i="3"/>
  <c r="H55" i="3"/>
  <c r="B55" i="3"/>
  <c r="M54" i="3"/>
  <c r="K54" i="3"/>
  <c r="J54" i="3"/>
  <c r="I54" i="3"/>
  <c r="H54" i="3"/>
  <c r="B54" i="3"/>
  <c r="B53" i="3"/>
  <c r="M48" i="3"/>
  <c r="AM48" i="3" s="1"/>
  <c r="K48" i="3"/>
  <c r="AK48" i="3" s="1"/>
  <c r="J48" i="3"/>
  <c r="AJ48" i="3" s="1"/>
  <c r="I48" i="3"/>
  <c r="H48" i="3"/>
  <c r="G48" i="3"/>
  <c r="F48" i="3"/>
  <c r="E48" i="3"/>
  <c r="AH38" i="3"/>
  <c r="AF38" i="3"/>
  <c r="AE38" i="3"/>
  <c r="AD38" i="3"/>
  <c r="L38" i="3"/>
  <c r="AH36" i="3"/>
  <c r="AF36" i="3"/>
  <c r="AE36" i="3"/>
  <c r="AD36" i="3"/>
  <c r="K29" i="3"/>
  <c r="K31" i="3" s="1"/>
  <c r="J29" i="3"/>
  <c r="J31" i="3" s="1"/>
  <c r="I29" i="3"/>
  <c r="I31" i="3" s="1"/>
  <c r="AH25" i="3"/>
  <c r="AF25" i="3"/>
  <c r="AE25" i="3"/>
  <c r="AD25" i="3"/>
  <c r="AH14" i="3"/>
  <c r="AF14" i="3"/>
  <c r="AE14" i="3"/>
  <c r="AD14" i="3"/>
  <c r="AH7" i="3"/>
  <c r="AF7" i="3"/>
  <c r="AE7" i="3"/>
  <c r="AD7" i="3"/>
  <c r="K105" i="3"/>
  <c r="G6" i="3"/>
  <c r="F6" i="3"/>
  <c r="E6" i="3"/>
  <c r="E69" i="3" s="1"/>
  <c r="AF2" i="3"/>
  <c r="AE2" i="3"/>
  <c r="AD2" i="3"/>
  <c r="AC2" i="3"/>
  <c r="E132" i="8"/>
  <c r="E134" i="8" s="1"/>
  <c r="D132" i="8"/>
  <c r="D134" i="8" s="1"/>
  <c r="F131" i="8"/>
  <c r="E125" i="8"/>
  <c r="E127" i="8" s="1"/>
  <c r="D125" i="8"/>
  <c r="D127" i="8" s="1"/>
  <c r="F124" i="8"/>
  <c r="E118" i="8"/>
  <c r="D118" i="8"/>
  <c r="H130" i="8"/>
  <c r="I114" i="8"/>
  <c r="J114" i="8" s="1"/>
  <c r="K114" i="8" s="1"/>
  <c r="E114" i="8"/>
  <c r="D114" i="8"/>
  <c r="C114" i="8"/>
  <c r="I100" i="8"/>
  <c r="F96" i="8"/>
  <c r="E96" i="8"/>
  <c r="E100" i="8" s="1"/>
  <c r="D96" i="8"/>
  <c r="D100" i="8" s="1"/>
  <c r="C96" i="8"/>
  <c r="C100" i="8" s="1"/>
  <c r="C117" i="8" s="1"/>
  <c r="F95" i="8"/>
  <c r="E95" i="8"/>
  <c r="E99" i="8" s="1"/>
  <c r="D95" i="8"/>
  <c r="D99" i="8" s="1"/>
  <c r="C95" i="8"/>
  <c r="C99" i="8" s="1"/>
  <c r="C113" i="8" s="1"/>
  <c r="E90" i="8"/>
  <c r="E108" i="8" s="1"/>
  <c r="E109" i="8" s="1"/>
  <c r="D90" i="8"/>
  <c r="D108" i="8" s="1"/>
  <c r="D109" i="8" s="1"/>
  <c r="C90" i="8"/>
  <c r="C108" i="8" s="1"/>
  <c r="C109" i="8" s="1"/>
  <c r="B90" i="8"/>
  <c r="B108" i="8" s="1"/>
  <c r="B109" i="8" s="1"/>
  <c r="C85" i="8"/>
  <c r="E78" i="8"/>
  <c r="D78" i="8"/>
  <c r="C78" i="8"/>
  <c r="C80" i="14" s="1"/>
  <c r="B78" i="8"/>
  <c r="H74" i="8"/>
  <c r="N73" i="8"/>
  <c r="M73" i="8"/>
  <c r="L73" i="8"/>
  <c r="K73" i="8"/>
  <c r="J73" i="8"/>
  <c r="H73" i="8"/>
  <c r="F73" i="8"/>
  <c r="E73" i="8"/>
  <c r="D73" i="8"/>
  <c r="E72" i="8"/>
  <c r="E74" i="8" s="1"/>
  <c r="F75" i="8" s="1"/>
  <c r="D72" i="8"/>
  <c r="D74" i="8" s="1"/>
  <c r="C72" i="8"/>
  <c r="C74" i="8" s="1"/>
  <c r="B72" i="8"/>
  <c r="B74" i="8" s="1"/>
  <c r="C53" i="13" s="1"/>
  <c r="E70" i="8"/>
  <c r="D70" i="8"/>
  <c r="C70" i="8"/>
  <c r="C79" i="14" s="1"/>
  <c r="B70" i="8"/>
  <c r="G56" i="8"/>
  <c r="H56" i="8" s="1"/>
  <c r="A55" i="8"/>
  <c r="A60" i="8" s="1"/>
  <c r="F52" i="8"/>
  <c r="G51" i="8"/>
  <c r="H51" i="8" s="1"/>
  <c r="I51" i="8" s="1"/>
  <c r="J51" i="8" s="1"/>
  <c r="K51" i="8" s="1"/>
  <c r="L51" i="8" s="1"/>
  <c r="M51" i="8" s="1"/>
  <c r="N51" i="8" s="1"/>
  <c r="E38" i="8"/>
  <c r="D38" i="8"/>
  <c r="D64" i="14" s="1"/>
  <c r="C38" i="8"/>
  <c r="C64" i="14" s="1"/>
  <c r="B38" i="8"/>
  <c r="B31" i="8" s="1"/>
  <c r="N26" i="8"/>
  <c r="M26" i="8"/>
  <c r="L26" i="8"/>
  <c r="K26" i="8"/>
  <c r="J26" i="8"/>
  <c r="I26" i="8"/>
  <c r="H26" i="8"/>
  <c r="F26" i="8"/>
  <c r="E26" i="8"/>
  <c r="D26" i="8"/>
  <c r="D27" i="8" s="1"/>
  <c r="C26" i="8"/>
  <c r="B26" i="8"/>
  <c r="C25" i="8"/>
  <c r="E24" i="8"/>
  <c r="E25" i="8" s="1"/>
  <c r="E23" i="8"/>
  <c r="D23" i="8"/>
  <c r="C23" i="8"/>
  <c r="H22" i="8"/>
  <c r="C10" i="8"/>
  <c r="D481" i="10" s="1"/>
  <c r="B10" i="8"/>
  <c r="C481" i="10" s="1"/>
  <c r="D7" i="8"/>
  <c r="C7" i="8"/>
  <c r="C61" i="14" s="1"/>
  <c r="B7" i="8"/>
  <c r="I230" i="2"/>
  <c r="J230" i="2" s="1"/>
  <c r="K230" i="2" s="1"/>
  <c r="L230" i="2" s="1"/>
  <c r="M230" i="2" s="1"/>
  <c r="N230" i="2" s="1"/>
  <c r="O230" i="2" s="1"/>
  <c r="F229" i="2"/>
  <c r="C447" i="13" s="1"/>
  <c r="E229" i="2"/>
  <c r="E224" i="2" s="1"/>
  <c r="D229" i="2"/>
  <c r="D224" i="2" s="1"/>
  <c r="B12" i="18" s="1"/>
  <c r="C229" i="2"/>
  <c r="C224" i="2" s="1"/>
  <c r="I228" i="2"/>
  <c r="J228" i="2" s="1"/>
  <c r="K228" i="2" s="1"/>
  <c r="L228" i="2" s="1"/>
  <c r="M228" i="2" s="1"/>
  <c r="N228" i="2" s="1"/>
  <c r="O228" i="2" s="1"/>
  <c r="I227" i="2"/>
  <c r="J227" i="2" s="1"/>
  <c r="K227" i="2" s="1"/>
  <c r="L227" i="2" s="1"/>
  <c r="M227" i="2" s="1"/>
  <c r="N227" i="2" s="1"/>
  <c r="O227" i="2" s="1"/>
  <c r="I225" i="2"/>
  <c r="J225" i="2" s="1"/>
  <c r="K225" i="2" s="1"/>
  <c r="L225" i="2" s="1"/>
  <c r="M225" i="2" s="1"/>
  <c r="N225" i="2" s="1"/>
  <c r="O225" i="2" s="1"/>
  <c r="I223" i="2"/>
  <c r="J223" i="2" s="1"/>
  <c r="K223" i="2" s="1"/>
  <c r="L223" i="2" s="1"/>
  <c r="I222" i="2"/>
  <c r="J222" i="2" s="1"/>
  <c r="K222" i="2" s="1"/>
  <c r="L222" i="2" s="1"/>
  <c r="M222" i="2" s="1"/>
  <c r="N222" i="2" s="1"/>
  <c r="O222" i="2" s="1"/>
  <c r="I221" i="2"/>
  <c r="J221" i="2" s="1"/>
  <c r="K221" i="2" s="1"/>
  <c r="L221" i="2" s="1"/>
  <c r="M221" i="2" s="1"/>
  <c r="N221" i="2" s="1"/>
  <c r="O221" i="2" s="1"/>
  <c r="I220" i="2"/>
  <c r="J220" i="2" s="1"/>
  <c r="K220" i="2" s="1"/>
  <c r="L220" i="2" s="1"/>
  <c r="M220" i="2" s="1"/>
  <c r="N220" i="2" s="1"/>
  <c r="O220" i="2" s="1"/>
  <c r="I219" i="2"/>
  <c r="J219" i="2" s="1"/>
  <c r="K219" i="2" s="1"/>
  <c r="L219" i="2" s="1"/>
  <c r="M219" i="2" s="1"/>
  <c r="N219" i="2" s="1"/>
  <c r="O219" i="2" s="1"/>
  <c r="I218" i="2"/>
  <c r="J218" i="2" s="1"/>
  <c r="K218" i="2" s="1"/>
  <c r="L218" i="2" s="1"/>
  <c r="M218" i="2" s="1"/>
  <c r="N218" i="2" s="1"/>
  <c r="O218" i="2" s="1"/>
  <c r="I217" i="2"/>
  <c r="J217" i="2" s="1"/>
  <c r="K217" i="2" s="1"/>
  <c r="L217" i="2" s="1"/>
  <c r="M217" i="2" s="1"/>
  <c r="N217" i="2" s="1"/>
  <c r="O217" i="2" s="1"/>
  <c r="I216" i="2"/>
  <c r="J216" i="2" s="1"/>
  <c r="K216" i="2" s="1"/>
  <c r="L216" i="2" s="1"/>
  <c r="M216" i="2" s="1"/>
  <c r="N216" i="2" s="1"/>
  <c r="O216" i="2" s="1"/>
  <c r="I215" i="2"/>
  <c r="J215" i="2" s="1"/>
  <c r="K215" i="2" s="1"/>
  <c r="L215" i="2" s="1"/>
  <c r="M215" i="2" s="1"/>
  <c r="N215" i="2" s="1"/>
  <c r="O215" i="2" s="1"/>
  <c r="I214" i="2"/>
  <c r="J214" i="2" s="1"/>
  <c r="K214" i="2" s="1"/>
  <c r="L214" i="2" s="1"/>
  <c r="M214" i="2" s="1"/>
  <c r="N214" i="2" s="1"/>
  <c r="O214" i="2" s="1"/>
  <c r="F211" i="2"/>
  <c r="E211" i="2"/>
  <c r="D211" i="2"/>
  <c r="C211" i="2"/>
  <c r="I210" i="2"/>
  <c r="J210" i="2" s="1"/>
  <c r="K210" i="2" s="1"/>
  <c r="L210" i="2" s="1"/>
  <c r="M210" i="2" s="1"/>
  <c r="N210" i="2" s="1"/>
  <c r="O210" i="2" s="1"/>
  <c r="I209" i="2"/>
  <c r="J209" i="2" s="1"/>
  <c r="K209" i="2" s="1"/>
  <c r="L209" i="2" s="1"/>
  <c r="M209" i="2" s="1"/>
  <c r="N209" i="2" s="1"/>
  <c r="O209" i="2" s="1"/>
  <c r="F207" i="2"/>
  <c r="E207" i="2"/>
  <c r="D207" i="2"/>
  <c r="C207" i="2"/>
  <c r="I204" i="2"/>
  <c r="J204" i="2" s="1"/>
  <c r="K204" i="2" s="1"/>
  <c r="L204" i="2" s="1"/>
  <c r="M204" i="2" s="1"/>
  <c r="N204" i="2" s="1"/>
  <c r="O204" i="2" s="1"/>
  <c r="I203" i="2"/>
  <c r="J203" i="2" s="1"/>
  <c r="K203" i="2" s="1"/>
  <c r="L203" i="2" s="1"/>
  <c r="M203" i="2" s="1"/>
  <c r="N203" i="2" s="1"/>
  <c r="O203" i="2" s="1"/>
  <c r="I202" i="2"/>
  <c r="J202" i="2" s="1"/>
  <c r="K202" i="2" s="1"/>
  <c r="L202" i="2" s="1"/>
  <c r="M202" i="2" s="1"/>
  <c r="N202" i="2" s="1"/>
  <c r="O202" i="2" s="1"/>
  <c r="F200" i="2"/>
  <c r="E200" i="2"/>
  <c r="D200" i="2"/>
  <c r="C200" i="2"/>
  <c r="I199" i="2"/>
  <c r="J199" i="2" s="1"/>
  <c r="K199" i="2" s="1"/>
  <c r="L199" i="2" s="1"/>
  <c r="M199" i="2" s="1"/>
  <c r="N199" i="2" s="1"/>
  <c r="O199" i="2" s="1"/>
  <c r="I198" i="2"/>
  <c r="J198" i="2" s="1"/>
  <c r="K198" i="2" s="1"/>
  <c r="K140" i="2" s="1"/>
  <c r="I197" i="2"/>
  <c r="J197" i="2" s="1"/>
  <c r="K197" i="2" s="1"/>
  <c r="L197" i="2" s="1"/>
  <c r="M197" i="2" s="1"/>
  <c r="N197" i="2" s="1"/>
  <c r="O197" i="2" s="1"/>
  <c r="F196" i="2"/>
  <c r="D191" i="2"/>
  <c r="C396" i="3" s="1"/>
  <c r="P399" i="3" s="1"/>
  <c r="C191" i="2"/>
  <c r="F189" i="2"/>
  <c r="E189" i="2"/>
  <c r="D189" i="2"/>
  <c r="C189" i="2"/>
  <c r="I188" i="2"/>
  <c r="J188" i="2" s="1"/>
  <c r="K188" i="2" s="1"/>
  <c r="L188" i="2" s="1"/>
  <c r="M188" i="2" s="1"/>
  <c r="N188" i="2" s="1"/>
  <c r="O188" i="2" s="1"/>
  <c r="I187" i="2"/>
  <c r="J187" i="2" s="1"/>
  <c r="K187" i="2" s="1"/>
  <c r="L187" i="2" s="1"/>
  <c r="M187" i="2" s="1"/>
  <c r="N187" i="2" s="1"/>
  <c r="O187" i="2" s="1"/>
  <c r="F185" i="2"/>
  <c r="E185" i="2"/>
  <c r="D185" i="2"/>
  <c r="C185" i="2"/>
  <c r="E171" i="2"/>
  <c r="F169" i="2" s="1"/>
  <c r="D171" i="2"/>
  <c r="E169" i="2" s="1"/>
  <c r="C171" i="2"/>
  <c r="D169" i="2" s="1"/>
  <c r="I158" i="2"/>
  <c r="J158" i="2" s="1"/>
  <c r="K158" i="2" s="1"/>
  <c r="L158" i="2" s="1"/>
  <c r="M158" i="2" s="1"/>
  <c r="N158" i="2" s="1"/>
  <c r="O158" i="2" s="1"/>
  <c r="I157" i="2"/>
  <c r="J157" i="2" s="1"/>
  <c r="K157" i="2" s="1"/>
  <c r="L157" i="2" s="1"/>
  <c r="M157" i="2" s="1"/>
  <c r="N157" i="2" s="1"/>
  <c r="O157" i="2" s="1"/>
  <c r="I156" i="2"/>
  <c r="G153" i="2"/>
  <c r="F153" i="2"/>
  <c r="E153" i="2"/>
  <c r="D153" i="2"/>
  <c r="C153" i="2"/>
  <c r="I152" i="2"/>
  <c r="J152" i="2" s="1"/>
  <c r="K152" i="2" s="1"/>
  <c r="L152" i="2" s="1"/>
  <c r="M152" i="2" s="1"/>
  <c r="N152" i="2" s="1"/>
  <c r="O152" i="2" s="1"/>
  <c r="G148" i="2"/>
  <c r="F148" i="2"/>
  <c r="E148" i="2"/>
  <c r="D148" i="2"/>
  <c r="C148" i="2"/>
  <c r="I147" i="2"/>
  <c r="J147" i="2" s="1"/>
  <c r="K147" i="2" s="1"/>
  <c r="L147" i="2" s="1"/>
  <c r="M147" i="2" s="1"/>
  <c r="N147" i="2" s="1"/>
  <c r="O147" i="2" s="1"/>
  <c r="F134" i="2"/>
  <c r="E134" i="2"/>
  <c r="D134" i="2"/>
  <c r="C134" i="2"/>
  <c r="H130" i="2"/>
  <c r="I130" i="2" s="1"/>
  <c r="J130" i="2" s="1"/>
  <c r="K130" i="2" s="1"/>
  <c r="L130" i="2" s="1"/>
  <c r="M130" i="2" s="1"/>
  <c r="N130" i="2" s="1"/>
  <c r="O130" i="2" s="1"/>
  <c r="H128" i="2"/>
  <c r="I128" i="2" s="1"/>
  <c r="J128" i="2" s="1"/>
  <c r="K128" i="2" s="1"/>
  <c r="L128" i="2" s="1"/>
  <c r="M128" i="2" s="1"/>
  <c r="N128" i="2" s="1"/>
  <c r="O128" i="2" s="1"/>
  <c r="F72" i="2"/>
  <c r="C295" i="13" s="1"/>
  <c r="F295" i="13" s="1"/>
  <c r="I69" i="2"/>
  <c r="J69" i="2" s="1"/>
  <c r="K69" i="2" s="1"/>
  <c r="L69" i="2" s="1"/>
  <c r="M69" i="2" s="1"/>
  <c r="N69" i="2" s="1"/>
  <c r="O69" i="2" s="1"/>
  <c r="E69" i="2"/>
  <c r="F68" i="2"/>
  <c r="C277" i="13" s="1"/>
  <c r="D283" i="13" s="1"/>
  <c r="F40" i="2"/>
  <c r="F175" i="2" s="1"/>
  <c r="E40" i="2"/>
  <c r="D84" i="14" s="1"/>
  <c r="D40" i="2"/>
  <c r="C84" i="14" s="1"/>
  <c r="C40" i="2"/>
  <c r="D18" i="2"/>
  <c r="D13" i="2"/>
  <c r="C13" i="2"/>
  <c r="H10" i="2"/>
  <c r="D629" i="13" s="1"/>
  <c r="C629" i="13"/>
  <c r="D4" i="2"/>
  <c r="D23" i="2" s="1"/>
  <c r="C4" i="2"/>
  <c r="C58" i="2" s="1"/>
  <c r="I104" i="8" l="1"/>
  <c r="J100" i="8"/>
  <c r="K396" i="3"/>
  <c r="K393" i="3"/>
  <c r="M393" i="3"/>
  <c r="I452" i="19" s="1"/>
  <c r="M453" i="19" s="1"/>
  <c r="M394" i="3"/>
  <c r="I459" i="19" s="1"/>
  <c r="N393" i="3"/>
  <c r="J452" i="19" s="1"/>
  <c r="N453" i="19" s="1"/>
  <c r="N394" i="3"/>
  <c r="J459" i="19" s="1"/>
  <c r="C60" i="14"/>
  <c r="P16" i="19"/>
  <c r="P14" i="19"/>
  <c r="AH6" i="12"/>
  <c r="AP6" i="12"/>
  <c r="E40" i="17"/>
  <c r="C43" i="17" s="1"/>
  <c r="D106" i="14"/>
  <c r="D114" i="14" s="1"/>
  <c r="D118" i="14" s="1"/>
  <c r="E118" i="14"/>
  <c r="B69" i="8"/>
  <c r="AM6" i="12"/>
  <c r="AJ6" i="12"/>
  <c r="AK6" i="12"/>
  <c r="AO6" i="12"/>
  <c r="C16" i="18"/>
  <c r="D155" i="14"/>
  <c r="D96" i="14" s="1"/>
  <c r="AL171" i="14"/>
  <c r="E27" i="8"/>
  <c r="AI6" i="12"/>
  <c r="AN6" i="12"/>
  <c r="D18" i="14"/>
  <c r="D26" i="14" s="1"/>
  <c r="D34" i="14" s="1"/>
  <c r="D56" i="14" s="1"/>
  <c r="E122" i="14"/>
  <c r="E10" i="9"/>
  <c r="E13" i="9" s="1"/>
  <c r="C31" i="8"/>
  <c r="C4" i="8" s="1"/>
  <c r="AL6" i="12"/>
  <c r="G9" i="9"/>
  <c r="F2" i="14"/>
  <c r="E18" i="14"/>
  <c r="E26" i="14" s="1"/>
  <c r="E34" i="14" s="1"/>
  <c r="E56" i="14" s="1"/>
  <c r="E155" i="14"/>
  <c r="E96" i="14" s="1"/>
  <c r="F209" i="14"/>
  <c r="F155" i="14"/>
  <c r="F96" i="14" s="1"/>
  <c r="C12" i="9"/>
  <c r="H16" i="9"/>
  <c r="E131" i="14"/>
  <c r="D12" i="9"/>
  <c r="F205" i="14"/>
  <c r="B11" i="9"/>
  <c r="B13" i="9"/>
  <c r="C11" i="9"/>
  <c r="F106" i="14"/>
  <c r="D11" i="9"/>
  <c r="F84" i="3"/>
  <c r="G410" i="19"/>
  <c r="G411" i="19" s="1"/>
  <c r="M84" i="3"/>
  <c r="E84" i="3"/>
  <c r="G84" i="3"/>
  <c r="C410" i="19"/>
  <c r="C415" i="19" s="1"/>
  <c r="C416" i="19" s="1"/>
  <c r="H84" i="3"/>
  <c r="D410" i="19"/>
  <c r="D415" i="19" s="1"/>
  <c r="D416" i="19" s="1"/>
  <c r="I84" i="3"/>
  <c r="E410" i="19"/>
  <c r="E415" i="19" s="1"/>
  <c r="E416" i="19" s="1"/>
  <c r="J84" i="3"/>
  <c r="F410" i="19"/>
  <c r="F415" i="19" s="1"/>
  <c r="F416" i="19" s="1"/>
  <c r="K84" i="3"/>
  <c r="H75" i="3"/>
  <c r="D138" i="19"/>
  <c r="C91" i="19"/>
  <c r="C138" i="19"/>
  <c r="H409" i="19"/>
  <c r="H414" i="19" s="1"/>
  <c r="H419" i="19" s="1"/>
  <c r="AN63" i="3"/>
  <c r="H410" i="19"/>
  <c r="AN83" i="3"/>
  <c r="K41" i="3"/>
  <c r="I41" i="3"/>
  <c r="E72" i="19" s="1"/>
  <c r="C10" i="19"/>
  <c r="AM63" i="3"/>
  <c r="H88" i="3"/>
  <c r="I65" i="3"/>
  <c r="D10" i="19"/>
  <c r="AM83" i="3"/>
  <c r="I88" i="3"/>
  <c r="J88" i="3"/>
  <c r="K88" i="3"/>
  <c r="M88" i="3"/>
  <c r="N88" i="3"/>
  <c r="AJ83" i="3"/>
  <c r="AK83" i="3"/>
  <c r="J41" i="3"/>
  <c r="N41" i="3"/>
  <c r="I72" i="19" s="1"/>
  <c r="M41" i="3"/>
  <c r="O18" i="3"/>
  <c r="I55" i="19" s="1"/>
  <c r="O41" i="3"/>
  <c r="J72" i="19" s="1"/>
  <c r="H41" i="3"/>
  <c r="D72" i="19" s="1"/>
  <c r="G41" i="3"/>
  <c r="C72" i="19" s="1"/>
  <c r="C31" i="19"/>
  <c r="M227" i="3"/>
  <c r="I396" i="3"/>
  <c r="J18" i="3"/>
  <c r="J396" i="3"/>
  <c r="K18" i="3"/>
  <c r="M18" i="3"/>
  <c r="N18" i="3"/>
  <c r="H55" i="19" s="1"/>
  <c r="G396" i="3"/>
  <c r="F178" i="19" s="1"/>
  <c r="H18" i="3"/>
  <c r="C55" i="19" s="1"/>
  <c r="G18" i="3"/>
  <c r="H396" i="3"/>
  <c r="I18" i="3"/>
  <c r="D55" i="19" s="1"/>
  <c r="N5" i="20"/>
  <c r="F20" i="5"/>
  <c r="G20" i="5" s="1"/>
  <c r="H20" i="5" s="1"/>
  <c r="I20" i="5" s="1"/>
  <c r="J20" i="5" s="1"/>
  <c r="K20" i="5" s="1"/>
  <c r="L20" i="5" s="1"/>
  <c r="M20" i="5" s="1"/>
  <c r="N20" i="5" s="1"/>
  <c r="O20" i="5" s="1"/>
  <c r="H195" i="2"/>
  <c r="C36" i="20" s="1"/>
  <c r="M396" i="3"/>
  <c r="M261" i="3"/>
  <c r="G889" i="13" s="1"/>
  <c r="G891" i="13" s="1"/>
  <c r="G892" i="13" s="1"/>
  <c r="N396" i="3"/>
  <c r="O178" i="19" s="1"/>
  <c r="N261" i="3"/>
  <c r="H889" i="13" s="1"/>
  <c r="H891" i="13" s="1"/>
  <c r="H892" i="13" s="1"/>
  <c r="I22" i="8"/>
  <c r="D39" i="8"/>
  <c r="AA27" i="3"/>
  <c r="Z27" i="3" s="1"/>
  <c r="D31" i="8"/>
  <c r="E6" i="2" s="1"/>
  <c r="C71" i="14"/>
  <c r="K260" i="19"/>
  <c r="N260" i="19"/>
  <c r="N264" i="19"/>
  <c r="D206" i="2"/>
  <c r="D205" i="2" s="1"/>
  <c r="P400" i="3"/>
  <c r="P405" i="3"/>
  <c r="E5" i="2"/>
  <c r="D71" i="14"/>
  <c r="D80" i="14"/>
  <c r="E10" i="2"/>
  <c r="E79" i="14"/>
  <c r="AE79" i="14" s="1"/>
  <c r="F8" i="2"/>
  <c r="E80" i="14"/>
  <c r="AE80" i="14" s="1"/>
  <c r="F10" i="2"/>
  <c r="D79" i="14"/>
  <c r="E8" i="2"/>
  <c r="D69" i="8"/>
  <c r="C39" i="8"/>
  <c r="E69" i="8"/>
  <c r="D103" i="8"/>
  <c r="C94" i="8"/>
  <c r="C98" i="8" s="1"/>
  <c r="D94" i="8"/>
  <c r="D98" i="8" s="1"/>
  <c r="C69" i="8"/>
  <c r="E131" i="10"/>
  <c r="D27" i="14" s="1"/>
  <c r="G171" i="10"/>
  <c r="G140" i="10"/>
  <c r="G339" i="10"/>
  <c r="G340" i="10" s="1"/>
  <c r="D163" i="10"/>
  <c r="C38" i="14" s="1"/>
  <c r="B11" i="18"/>
  <c r="C11" i="18"/>
  <c r="C52" i="14"/>
  <c r="J105" i="3"/>
  <c r="J75" i="3"/>
  <c r="N213" i="3"/>
  <c r="N105" i="3"/>
  <c r="N75" i="3"/>
  <c r="I39" i="3"/>
  <c r="I105" i="3"/>
  <c r="I75" i="3"/>
  <c r="C4" i="19"/>
  <c r="M105" i="3"/>
  <c r="M75" i="3"/>
  <c r="L114" i="8"/>
  <c r="B4" i="8"/>
  <c r="D117" i="8"/>
  <c r="D104" i="8"/>
  <c r="E117" i="8"/>
  <c r="E104" i="8"/>
  <c r="E103" i="8"/>
  <c r="E113" i="8"/>
  <c r="D136" i="8"/>
  <c r="E136" i="8"/>
  <c r="I118" i="8"/>
  <c r="E31" i="8"/>
  <c r="F6" i="2" s="1"/>
  <c r="E94" i="8"/>
  <c r="E98" i="8" s="1"/>
  <c r="E39" i="8"/>
  <c r="F39" i="8"/>
  <c r="F94" i="8"/>
  <c r="E64" i="14"/>
  <c r="E7" i="8"/>
  <c r="D61" i="14"/>
  <c r="D60" i="14" s="1"/>
  <c r="D113" i="8"/>
  <c r="C27" i="8"/>
  <c r="F206" i="2"/>
  <c r="I140" i="2"/>
  <c r="E8" i="21"/>
  <c r="C8" i="21"/>
  <c r="J140" i="2"/>
  <c r="E84" i="14"/>
  <c r="AE84" i="14" s="1"/>
  <c r="I144" i="2"/>
  <c r="L198" i="2"/>
  <c r="M198" i="2" s="1"/>
  <c r="N198" i="2" s="1"/>
  <c r="O198" i="2" s="1"/>
  <c r="O140" i="2" s="1"/>
  <c r="F224" i="2"/>
  <c r="C25" i="21"/>
  <c r="D182" i="2"/>
  <c r="D181" i="2" s="1"/>
  <c r="D11" i="17" s="1"/>
  <c r="D24" i="5"/>
  <c r="F70" i="2"/>
  <c r="F17" i="5" s="1"/>
  <c r="F24" i="5" s="1"/>
  <c r="C206" i="2"/>
  <c r="C205" i="2" s="1"/>
  <c r="E68" i="2"/>
  <c r="E70" i="2" s="1"/>
  <c r="D19" i="2"/>
  <c r="J144" i="2"/>
  <c r="K144" i="2"/>
  <c r="F12" i="21"/>
  <c r="D58" i="2"/>
  <c r="G207" i="2"/>
  <c r="C12" i="18"/>
  <c r="F183" i="14"/>
  <c r="F184" i="14" s="1"/>
  <c r="F187" i="14" s="1"/>
  <c r="F193" i="14" s="1"/>
  <c r="C27" i="2"/>
  <c r="E12" i="21"/>
  <c r="E24" i="21"/>
  <c r="E25" i="21" s="1"/>
  <c r="F8" i="21"/>
  <c r="D29" i="21"/>
  <c r="C31" i="21"/>
  <c r="C32" i="21" s="1"/>
  <c r="C9" i="2"/>
  <c r="H153" i="2"/>
  <c r="B86" i="8"/>
  <c r="D12" i="21"/>
  <c r="G185" i="2"/>
  <c r="G21" i="5"/>
  <c r="E29" i="21"/>
  <c r="D15" i="21"/>
  <c r="M223" i="2"/>
  <c r="L144" i="2"/>
  <c r="C28" i="21"/>
  <c r="C29" i="21" s="1"/>
  <c r="C12" i="21"/>
  <c r="D9" i="2"/>
  <c r="C15" i="2"/>
  <c r="C35" i="2"/>
  <c r="F77" i="2"/>
  <c r="F78" i="2" s="1"/>
  <c r="E206" i="2"/>
  <c r="E205" i="2" s="1"/>
  <c r="E53" i="13"/>
  <c r="D213" i="13"/>
  <c r="D15" i="2"/>
  <c r="D35" i="2"/>
  <c r="C182" i="2"/>
  <c r="C181" i="2" s="1"/>
  <c r="C4" i="17" s="1"/>
  <c r="C842" i="13"/>
  <c r="E213" i="13"/>
  <c r="D24" i="21"/>
  <c r="D25" i="21" s="1"/>
  <c r="D8" i="21"/>
  <c r="J156" i="2"/>
  <c r="I153" i="2"/>
  <c r="I201" i="2"/>
  <c r="H200" i="2"/>
  <c r="I186" i="2"/>
  <c r="H185" i="2"/>
  <c r="X629" i="13"/>
  <c r="N629" i="13"/>
  <c r="D27" i="2"/>
  <c r="C56" i="2"/>
  <c r="F25" i="21"/>
  <c r="D53" i="13"/>
  <c r="C213" i="13"/>
  <c r="W629" i="13"/>
  <c r="M629" i="13"/>
  <c r="C23" i="2"/>
  <c r="D24" i="2" s="1"/>
  <c r="I196" i="2"/>
  <c r="J196" i="2" s="1"/>
  <c r="K196" i="2" s="1"/>
  <c r="L196" i="2" s="1"/>
  <c r="M196" i="2" s="1"/>
  <c r="N196" i="2" s="1"/>
  <c r="O196" i="2" s="1"/>
  <c r="I208" i="2"/>
  <c r="H207" i="2"/>
  <c r="L83" i="3"/>
  <c r="D165" i="14"/>
  <c r="D168" i="14" s="1"/>
  <c r="B3" i="18"/>
  <c r="B2" i="18"/>
  <c r="B9" i="18" s="1"/>
  <c r="C73" i="14"/>
  <c r="C86" i="8"/>
  <c r="E171" i="14"/>
  <c r="E174" i="14" s="1"/>
  <c r="E176" i="14" s="1"/>
  <c r="G200" i="2"/>
  <c r="F171" i="14"/>
  <c r="F174" i="14" s="1"/>
  <c r="F176" i="14" s="1"/>
  <c r="F97" i="14" s="1"/>
  <c r="F28" i="21"/>
  <c r="F29" i="21" s="1"/>
  <c r="I29" i="21" s="1"/>
  <c r="J29" i="21" s="1"/>
  <c r="K29" i="21" s="1"/>
  <c r="L29" i="21" s="1"/>
  <c r="M29" i="21" s="1"/>
  <c r="N29" i="21" s="1"/>
  <c r="O29" i="21" s="1"/>
  <c r="E31" i="21"/>
  <c r="D18" i="5"/>
  <c r="D22" i="5" s="1"/>
  <c r="D26" i="5" s="1"/>
  <c r="D82" i="19"/>
  <c r="M29" i="3"/>
  <c r="M31" i="3" s="1"/>
  <c r="M30" i="3"/>
  <c r="M32" i="3" s="1"/>
  <c r="H75" i="19" s="1"/>
  <c r="N39" i="3"/>
  <c r="J466" i="19" s="1"/>
  <c r="D4" i="19"/>
  <c r="H81" i="3"/>
  <c r="H39" i="3"/>
  <c r="J39" i="3"/>
  <c r="AJ6" i="3"/>
  <c r="G212" i="3"/>
  <c r="G214" i="3" s="1"/>
  <c r="G39" i="3"/>
  <c r="K72" i="3"/>
  <c r="K39" i="3"/>
  <c r="M81" i="3"/>
  <c r="M39" i="3"/>
  <c r="I466" i="19" s="1"/>
  <c r="I56" i="8"/>
  <c r="F269" i="13"/>
  <c r="E269" i="13"/>
  <c r="C591" i="13"/>
  <c r="D591" i="13"/>
  <c r="X591" i="13" s="1"/>
  <c r="C1274" i="13"/>
  <c r="M1274" i="13" s="1"/>
  <c r="N309" i="3"/>
  <c r="N313" i="3"/>
  <c r="M260" i="19"/>
  <c r="O356" i="3"/>
  <c r="O357" i="3" s="1"/>
  <c r="O242" i="3"/>
  <c r="G399" i="3"/>
  <c r="G400" i="3" s="1"/>
  <c r="O399" i="3"/>
  <c r="E500" i="10"/>
  <c r="I243" i="10"/>
  <c r="I244" i="10" s="1"/>
  <c r="M332" i="10"/>
  <c r="M333" i="10" s="1"/>
  <c r="D499" i="10"/>
  <c r="C67" i="10"/>
  <c r="D500" i="10"/>
  <c r="E499" i="10"/>
  <c r="E9" i="10"/>
  <c r="C79" i="10"/>
  <c r="C463" i="10" s="1"/>
  <c r="C474" i="10" s="1"/>
  <c r="D132" i="10"/>
  <c r="C30" i="14" s="1"/>
  <c r="F9" i="10"/>
  <c r="E162" i="10"/>
  <c r="D35" i="14" s="1"/>
  <c r="C46" i="14"/>
  <c r="F79" i="10"/>
  <c r="F80" i="10" s="1"/>
  <c r="F78" i="10" s="1"/>
  <c r="E19" i="14" s="1"/>
  <c r="D9" i="10"/>
  <c r="C114" i="10"/>
  <c r="G221" i="10"/>
  <c r="C21" i="10"/>
  <c r="C84" i="10" s="1"/>
  <c r="C87" i="10" s="1"/>
  <c r="G272" i="13"/>
  <c r="H221" i="10"/>
  <c r="E21" i="10"/>
  <c r="E25" i="10" s="1"/>
  <c r="E209" i="10" s="1"/>
  <c r="E210" i="10" s="1"/>
  <c r="C23" i="10"/>
  <c r="F164" i="10"/>
  <c r="E37" i="14" s="1"/>
  <c r="C500" i="10"/>
  <c r="E23" i="10"/>
  <c r="E168" i="10" s="1"/>
  <c r="E171" i="10" s="1"/>
  <c r="E182" i="10" s="1"/>
  <c r="E102" i="10" s="1"/>
  <c r="E103" i="10" s="1"/>
  <c r="C35" i="10"/>
  <c r="C5" i="17" s="1"/>
  <c r="E137" i="10"/>
  <c r="E26" i="10"/>
  <c r="E241" i="10" s="1"/>
  <c r="E242" i="10" s="1"/>
  <c r="D137" i="10"/>
  <c r="D26" i="10"/>
  <c r="D241" i="10" s="1"/>
  <c r="D242" i="10" s="1"/>
  <c r="F26" i="10"/>
  <c r="F241" i="10" s="1"/>
  <c r="F242" i="10" s="1"/>
  <c r="F137" i="10"/>
  <c r="F140" i="10" s="1"/>
  <c r="I20" i="14"/>
  <c r="AI20" i="14" s="1"/>
  <c r="J465" i="10"/>
  <c r="K81" i="10"/>
  <c r="C137" i="10"/>
  <c r="C138" i="10" s="1"/>
  <c r="C26" i="10"/>
  <c r="D67" i="10"/>
  <c r="F221" i="10"/>
  <c r="F355" i="10"/>
  <c r="G355" i="10" s="1"/>
  <c r="H355" i="10" s="1"/>
  <c r="I355" i="10" s="1"/>
  <c r="J355" i="10" s="1"/>
  <c r="K355" i="10" s="1"/>
  <c r="L355" i="10" s="1"/>
  <c r="M355" i="10" s="1"/>
  <c r="N355" i="10" s="1"/>
  <c r="O355" i="10" s="1"/>
  <c r="F327" i="10"/>
  <c r="C273" i="13" s="1"/>
  <c r="D21" i="10"/>
  <c r="D23" i="10"/>
  <c r="D168" i="10" s="1"/>
  <c r="E30" i="14"/>
  <c r="G132" i="10"/>
  <c r="J526" i="10"/>
  <c r="J520" i="10"/>
  <c r="C21" i="14"/>
  <c r="D464" i="10"/>
  <c r="G327" i="10"/>
  <c r="D273" i="13" s="1"/>
  <c r="H20" i="14"/>
  <c r="AH20" i="14" s="1"/>
  <c r="I465" i="10"/>
  <c r="F21" i="10"/>
  <c r="F23" i="10"/>
  <c r="F168" i="10" s="1"/>
  <c r="W397" i="10"/>
  <c r="D21" i="14"/>
  <c r="E464" i="10"/>
  <c r="F502" i="10"/>
  <c r="G249" i="10"/>
  <c r="F252" i="10"/>
  <c r="H267" i="10"/>
  <c r="C4" i="21"/>
  <c r="C21" i="21"/>
  <c r="C325" i="10"/>
  <c r="C467" i="10"/>
  <c r="D507" i="10"/>
  <c r="D399" i="10"/>
  <c r="D404" i="10" s="1"/>
  <c r="E29" i="14"/>
  <c r="W396" i="10"/>
  <c r="E401" i="10"/>
  <c r="E526" i="10"/>
  <c r="E520" i="10"/>
  <c r="M526" i="10"/>
  <c r="M520" i="10"/>
  <c r="D4" i="21"/>
  <c r="D21" i="21"/>
  <c r="B8" i="18"/>
  <c r="C3" i="14"/>
  <c r="D467" i="10"/>
  <c r="D35" i="10"/>
  <c r="D393" i="10" s="1"/>
  <c r="E40" i="10"/>
  <c r="D79" i="10"/>
  <c r="N21" i="14"/>
  <c r="AN21" i="14" s="1"/>
  <c r="O464" i="10"/>
  <c r="I341" i="10"/>
  <c r="H339" i="10"/>
  <c r="H340" i="10" s="1"/>
  <c r="E368" i="10"/>
  <c r="E221" i="10"/>
  <c r="E355" i="10"/>
  <c r="E21" i="21"/>
  <c r="C8" i="18"/>
  <c r="D3" i="14"/>
  <c r="E4" i="21"/>
  <c r="E467" i="10"/>
  <c r="E325" i="10"/>
  <c r="D22" i="14"/>
  <c r="E463" i="10"/>
  <c r="E474" i="10" s="1"/>
  <c r="B81" i="10"/>
  <c r="B465" i="10" s="1"/>
  <c r="D114" i="10"/>
  <c r="F131" i="10"/>
  <c r="E27" i="14" s="1"/>
  <c r="G256" i="10"/>
  <c r="H256" i="10" s="1"/>
  <c r="I256" i="10" s="1"/>
  <c r="J256" i="10" s="1"/>
  <c r="K256" i="10" s="1"/>
  <c r="L256" i="10" s="1"/>
  <c r="M256" i="10" s="1"/>
  <c r="N256" i="10" s="1"/>
  <c r="O256" i="10" s="1"/>
  <c r="D401" i="10"/>
  <c r="V397" i="10"/>
  <c r="D8" i="18"/>
  <c r="E3" i="14"/>
  <c r="F4" i="21"/>
  <c r="F21" i="21"/>
  <c r="G22" i="21" s="1"/>
  <c r="F467" i="10"/>
  <c r="F360" i="10"/>
  <c r="E60" i="8" s="1"/>
  <c r="E59" i="8" s="1"/>
  <c r="F347" i="10"/>
  <c r="E55" i="8" s="1"/>
  <c r="F325" i="10"/>
  <c r="F465" i="10"/>
  <c r="E20" i="14"/>
  <c r="N39" i="14"/>
  <c r="E206" i="10"/>
  <c r="D276" i="10"/>
  <c r="E273" i="10"/>
  <c r="C499" i="10"/>
  <c r="C401" i="10"/>
  <c r="U398" i="10" s="1"/>
  <c r="F526" i="10"/>
  <c r="F520" i="10"/>
  <c r="N526" i="10"/>
  <c r="N520" i="10"/>
  <c r="G134" i="10"/>
  <c r="G163" i="10"/>
  <c r="G165" i="10"/>
  <c r="G520" i="10"/>
  <c r="G526" i="10"/>
  <c r="O520" i="10"/>
  <c r="O526" i="10"/>
  <c r="G244" i="10"/>
  <c r="H280" i="10"/>
  <c r="H520" i="10"/>
  <c r="H526" i="10"/>
  <c r="H326" i="10"/>
  <c r="H327" i="10" s="1"/>
  <c r="E273" i="13" s="1"/>
  <c r="C203" i="10"/>
  <c r="C503" i="10" s="1"/>
  <c r="D203" i="10"/>
  <c r="D503" i="10" s="1"/>
  <c r="K526" i="10"/>
  <c r="K520" i="10"/>
  <c r="E203" i="10"/>
  <c r="E503" i="10" s="1"/>
  <c r="D526" i="10"/>
  <c r="D520" i="10"/>
  <c r="L526" i="10"/>
  <c r="L520" i="10"/>
  <c r="I526" i="10"/>
  <c r="I520" i="10"/>
  <c r="G368" i="10"/>
  <c r="F61" i="8" s="1"/>
  <c r="G61" i="8"/>
  <c r="F923" i="13"/>
  <c r="F924" i="13" s="1"/>
  <c r="F928" i="13"/>
  <c r="K288" i="3"/>
  <c r="K254" i="3"/>
  <c r="K261" i="3" s="1"/>
  <c r="F889" i="13" s="1"/>
  <c r="F891" i="13" s="1"/>
  <c r="F892" i="13" s="1"/>
  <c r="AI48" i="3"/>
  <c r="N242" i="3"/>
  <c r="N288" i="3"/>
  <c r="M288" i="3"/>
  <c r="AI83" i="3"/>
  <c r="H288" i="3"/>
  <c r="H254" i="3"/>
  <c r="H261" i="3" s="1"/>
  <c r="C889" i="13" s="1"/>
  <c r="C891" i="13" s="1"/>
  <c r="C892" i="13" s="1"/>
  <c r="G288" i="3"/>
  <c r="C130" i="19" s="1"/>
  <c r="G254" i="3"/>
  <c r="AI6" i="3"/>
  <c r="I288" i="3"/>
  <c r="I254" i="3"/>
  <c r="I261" i="3" s="1"/>
  <c r="D889" i="13" s="1"/>
  <c r="D891" i="13" s="1"/>
  <c r="D892" i="13" s="1"/>
  <c r="J288" i="3"/>
  <c r="J254" i="3"/>
  <c r="J261" i="3" s="1"/>
  <c r="J481" i="10"/>
  <c r="K481" i="10"/>
  <c r="F14" i="13"/>
  <c r="N14" i="13"/>
  <c r="G14" i="13"/>
  <c r="O14" i="13"/>
  <c r="E14" i="13"/>
  <c r="M14" i="13"/>
  <c r="K14" i="13"/>
  <c r="E394" i="13"/>
  <c r="R156" i="13"/>
  <c r="Q144" i="13" s="1"/>
  <c r="D68" i="13"/>
  <c r="E68" i="13"/>
  <c r="Q36" i="3"/>
  <c r="H80" i="14"/>
  <c r="AH80" i="14" s="1"/>
  <c r="I10" i="2"/>
  <c r="V36" i="3"/>
  <c r="G80" i="14"/>
  <c r="AG80" i="14" s="1"/>
  <c r="H72" i="8"/>
  <c r="F842" i="13"/>
  <c r="H213" i="13"/>
  <c r="I74" i="8"/>
  <c r="G213" i="13"/>
  <c r="E842" i="13"/>
  <c r="J4" i="4"/>
  <c r="I72" i="3"/>
  <c r="N296" i="3"/>
  <c r="H238" i="19"/>
  <c r="N303" i="3"/>
  <c r="F271" i="19"/>
  <c r="N219" i="3"/>
  <c r="D254" i="19"/>
  <c r="F4" i="13"/>
  <c r="F12" i="13" s="1"/>
  <c r="F289" i="13"/>
  <c r="G288" i="13"/>
  <c r="C387" i="13"/>
  <c r="C388" i="13" s="1"/>
  <c r="C389" i="13" s="1"/>
  <c r="T150" i="13"/>
  <c r="E364" i="13"/>
  <c r="E369" i="13" s="1"/>
  <c r="H14" i="13"/>
  <c r="D394" i="13"/>
  <c r="C14" i="13"/>
  <c r="I14" i="13"/>
  <c r="R167" i="13"/>
  <c r="J14" i="13"/>
  <c r="C261" i="13"/>
  <c r="F753" i="13"/>
  <c r="Q167" i="13"/>
  <c r="F754" i="13"/>
  <c r="C746" i="13"/>
  <c r="D321" i="13"/>
  <c r="C350" i="13"/>
  <c r="D14" i="13"/>
  <c r="L14" i="13"/>
  <c r="C743" i="13"/>
  <c r="S156" i="13"/>
  <c r="D320" i="13" s="1"/>
  <c r="E350" i="13"/>
  <c r="E376" i="13" s="1"/>
  <c r="C457" i="13"/>
  <c r="G67" i="13"/>
  <c r="H65" i="13"/>
  <c r="D350" i="13"/>
  <c r="F350" i="13"/>
  <c r="E801" i="13"/>
  <c r="H801" i="13" s="1"/>
  <c r="D803" i="13"/>
  <c r="G803" i="13" s="1"/>
  <c r="J803" i="13" s="1"/>
  <c r="G801" i="13"/>
  <c r="J801" i="13" s="1"/>
  <c r="F801" i="13"/>
  <c r="I801" i="13" s="1"/>
  <c r="J218" i="3"/>
  <c r="J227" i="3" s="1"/>
  <c r="F67" i="13"/>
  <c r="F68" i="13" s="1"/>
  <c r="R172" i="13"/>
  <c r="E377" i="13"/>
  <c r="D388" i="13"/>
  <c r="D389" i="13" s="1"/>
  <c r="C279" i="13"/>
  <c r="D285" i="13" s="1"/>
  <c r="H364" i="13"/>
  <c r="H369" i="13" s="1"/>
  <c r="D284" i="13"/>
  <c r="D287" i="13"/>
  <c r="F751" i="13"/>
  <c r="E804" i="13"/>
  <c r="H804" i="13" s="1"/>
  <c r="K804" i="13" s="1"/>
  <c r="F277" i="13"/>
  <c r="G283" i="13" s="1"/>
  <c r="F284" i="13"/>
  <c r="G284" i="13" s="1"/>
  <c r="F804" i="13"/>
  <c r="I804" i="13" s="1"/>
  <c r="L804" i="13" s="1"/>
  <c r="G270" i="3"/>
  <c r="C136" i="19" s="1"/>
  <c r="D91" i="19"/>
  <c r="H270" i="3"/>
  <c r="D136" i="19" s="1"/>
  <c r="H91" i="19"/>
  <c r="N270" i="3"/>
  <c r="S271" i="3" s="1"/>
  <c r="G91" i="19"/>
  <c r="M270" i="3"/>
  <c r="I318" i="3"/>
  <c r="I323" i="3" s="1"/>
  <c r="E91" i="19"/>
  <c r="I270" i="3"/>
  <c r="E136" i="19" s="1"/>
  <c r="H225" i="3"/>
  <c r="F91" i="19"/>
  <c r="J270" i="3"/>
  <c r="J78" i="3"/>
  <c r="J212" i="3"/>
  <c r="J214" i="3" s="1"/>
  <c r="K355" i="3"/>
  <c r="K270" i="3"/>
  <c r="AH48" i="3"/>
  <c r="H415" i="3"/>
  <c r="I420" i="3" s="1"/>
  <c r="N31" i="3"/>
  <c r="H29" i="3"/>
  <c r="H31" i="3" s="1"/>
  <c r="K175" i="19"/>
  <c r="G175" i="19"/>
  <c r="AE48" i="3"/>
  <c r="N454" i="3"/>
  <c r="G29" i="3"/>
  <c r="G31" i="3" s="1"/>
  <c r="G415" i="3"/>
  <c r="H420" i="3" s="1"/>
  <c r="G65" i="3"/>
  <c r="AH83" i="3"/>
  <c r="AD83" i="3"/>
  <c r="H59" i="3"/>
  <c r="C894" i="13" s="1"/>
  <c r="U204" i="19"/>
  <c r="K214" i="19" s="1"/>
  <c r="I375" i="3"/>
  <c r="N415" i="3"/>
  <c r="K226" i="19"/>
  <c r="H226" i="19"/>
  <c r="AF83" i="3"/>
  <c r="H242" i="3"/>
  <c r="M296" i="3"/>
  <c r="D275" i="19" s="1"/>
  <c r="H186" i="19"/>
  <c r="H175" i="19"/>
  <c r="H187" i="19"/>
  <c r="Q210" i="19" s="1"/>
  <c r="AD6" i="3"/>
  <c r="D72" i="13" s="1"/>
  <c r="J375" i="3"/>
  <c r="D410" i="13"/>
  <c r="L410" i="13"/>
  <c r="L411" i="13" s="1"/>
  <c r="F82" i="19"/>
  <c r="M175" i="19"/>
  <c r="F410" i="13"/>
  <c r="C755" i="13"/>
  <c r="F755" i="13" s="1"/>
  <c r="N53" i="3"/>
  <c r="N175" i="19"/>
  <c r="T206" i="19"/>
  <c r="H216" i="19" s="1"/>
  <c r="M206" i="19"/>
  <c r="U206" i="19"/>
  <c r="K216" i="19" s="1"/>
  <c r="N206" i="19"/>
  <c r="Q204" i="19"/>
  <c r="E214" i="19" s="1"/>
  <c r="O206" i="19"/>
  <c r="J399" i="3"/>
  <c r="J400" i="3" s="1"/>
  <c r="H53" i="3"/>
  <c r="I301" i="3"/>
  <c r="I303" i="3" s="1"/>
  <c r="K303" i="3" s="1"/>
  <c r="C282" i="19" s="1"/>
  <c r="J415" i="3"/>
  <c r="K420" i="3" s="1"/>
  <c r="E82" i="19"/>
  <c r="N375" i="3"/>
  <c r="AE83" i="3"/>
  <c r="AF6" i="3"/>
  <c r="N65" i="3"/>
  <c r="N399" i="3"/>
  <c r="N400" i="3" s="1"/>
  <c r="AF48" i="3"/>
  <c r="N81" i="3"/>
  <c r="I415" i="3"/>
  <c r="E410" i="13"/>
  <c r="M410" i="13"/>
  <c r="M411" i="13" s="1"/>
  <c r="J410" i="13"/>
  <c r="J411" i="13" s="1"/>
  <c r="J33" i="3"/>
  <c r="H69" i="3"/>
  <c r="E399" i="3"/>
  <c r="E400" i="3" s="1"/>
  <c r="K410" i="13"/>
  <c r="K411" i="13" s="1"/>
  <c r="H65" i="3"/>
  <c r="I78" i="3"/>
  <c r="M309" i="3"/>
  <c r="K366" i="3"/>
  <c r="K365" i="3" s="1"/>
  <c r="N59" i="3"/>
  <c r="N69" i="3"/>
  <c r="N33" i="3"/>
  <c r="N318" i="3"/>
  <c r="N355" i="3"/>
  <c r="N356" i="3"/>
  <c r="N72" i="3"/>
  <c r="N78" i="3"/>
  <c r="H33" i="3"/>
  <c r="E53" i="3"/>
  <c r="E59" i="3"/>
  <c r="G78" i="3"/>
  <c r="J356" i="3"/>
  <c r="J357" i="3" s="1"/>
  <c r="H274" i="3"/>
  <c r="C226" i="19"/>
  <c r="J273" i="3"/>
  <c r="C254" i="19"/>
  <c r="K415" i="3"/>
  <c r="AF5" i="3"/>
  <c r="K454" i="3"/>
  <c r="K78" i="3"/>
  <c r="AH6" i="3"/>
  <c r="I33" i="3"/>
  <c r="G53" i="3"/>
  <c r="G59" i="3"/>
  <c r="H78" i="3"/>
  <c r="F186" i="19"/>
  <c r="F225" i="19"/>
  <c r="K273" i="3"/>
  <c r="K318" i="3"/>
  <c r="K242" i="3"/>
  <c r="M375" i="3"/>
  <c r="G186" i="19"/>
  <c r="M273" i="3"/>
  <c r="C1299" i="13" s="1"/>
  <c r="G225" i="19"/>
  <c r="E78" i="3"/>
  <c r="E72" i="3"/>
  <c r="M454" i="3"/>
  <c r="M78" i="3"/>
  <c r="M72" i="3"/>
  <c r="M53" i="3"/>
  <c r="K33" i="3"/>
  <c r="I53" i="3"/>
  <c r="I59" i="3"/>
  <c r="J69" i="3"/>
  <c r="H219" i="3"/>
  <c r="M355" i="3"/>
  <c r="M356" i="3"/>
  <c r="M357" i="3" s="1"/>
  <c r="M242" i="3"/>
  <c r="M318" i="3"/>
  <c r="F187" i="19"/>
  <c r="F226" i="19"/>
  <c r="K274" i="3"/>
  <c r="I274" i="3"/>
  <c r="C272" i="19"/>
  <c r="K309" i="3"/>
  <c r="F59" i="3"/>
  <c r="F53" i="3"/>
  <c r="F212" i="3"/>
  <c r="F214" i="3" s="1"/>
  <c r="F81" i="3"/>
  <c r="F69" i="3"/>
  <c r="M33" i="3"/>
  <c r="AD48" i="3"/>
  <c r="J53" i="3"/>
  <c r="J59" i="3"/>
  <c r="AJ59" i="3" s="1"/>
  <c r="K69" i="3"/>
  <c r="F72" i="3"/>
  <c r="E81" i="3"/>
  <c r="I212" i="3"/>
  <c r="M225" i="3"/>
  <c r="M274" i="3"/>
  <c r="C1300" i="13" s="1"/>
  <c r="K292" i="3"/>
  <c r="G72" i="3"/>
  <c r="G81" i="3"/>
  <c r="G69" i="3"/>
  <c r="K53" i="3"/>
  <c r="K59" i="3"/>
  <c r="AK59" i="3" s="1"/>
  <c r="H72" i="3"/>
  <c r="C210" i="19"/>
  <c r="C278" i="19"/>
  <c r="H212" i="3"/>
  <c r="M69" i="3"/>
  <c r="J81" i="3"/>
  <c r="K213" i="3"/>
  <c r="I242" i="3"/>
  <c r="I81" i="3"/>
  <c r="I69" i="3"/>
  <c r="AE6" i="3"/>
  <c r="E72" i="13" s="1"/>
  <c r="G33" i="3"/>
  <c r="L305" i="3"/>
  <c r="M59" i="3"/>
  <c r="J72" i="3"/>
  <c r="F78" i="3"/>
  <c r="K81" i="3"/>
  <c r="M213" i="3"/>
  <c r="D86" i="16"/>
  <c r="J242" i="3"/>
  <c r="H273" i="3"/>
  <c r="I294" i="3"/>
  <c r="I355" i="3"/>
  <c r="D253" i="19"/>
  <c r="M415" i="3"/>
  <c r="R204" i="19"/>
  <c r="F214" i="19" s="1"/>
  <c r="G355" i="3"/>
  <c r="H356" i="3"/>
  <c r="H357" i="3" s="1"/>
  <c r="G356" i="3"/>
  <c r="G357" i="3" s="1"/>
  <c r="G318" i="3"/>
  <c r="E272" i="19"/>
  <c r="C279" i="19"/>
  <c r="K313" i="3"/>
  <c r="H355" i="3"/>
  <c r="H318" i="3"/>
  <c r="E226" i="19"/>
  <c r="J274" i="3"/>
  <c r="M303" i="3"/>
  <c r="D282" i="19" s="1"/>
  <c r="D280" i="19"/>
  <c r="I356" i="3"/>
  <c r="I357" i="3" s="1"/>
  <c r="H454" i="3"/>
  <c r="G205" i="19"/>
  <c r="G204" i="19"/>
  <c r="J355" i="3"/>
  <c r="K356" i="3"/>
  <c r="K357" i="3" s="1"/>
  <c r="J318" i="3"/>
  <c r="D225" i="19"/>
  <c r="I273" i="3"/>
  <c r="G187" i="19"/>
  <c r="G226" i="19"/>
  <c r="F399" i="3"/>
  <c r="M399" i="3"/>
  <c r="M400" i="3" s="1"/>
  <c r="D399" i="3"/>
  <c r="K399" i="3"/>
  <c r="K400" i="3" s="1"/>
  <c r="C399" i="3"/>
  <c r="C400" i="3" s="1"/>
  <c r="C403" i="3" s="1"/>
  <c r="C297" i="19" s="1"/>
  <c r="I399" i="3"/>
  <c r="I400" i="3" s="1"/>
  <c r="C397" i="3"/>
  <c r="H399" i="3"/>
  <c r="H400" i="3" s="1"/>
  <c r="T205" i="19"/>
  <c r="I454" i="3"/>
  <c r="H204" i="19"/>
  <c r="H205" i="19"/>
  <c r="S204" i="19"/>
  <c r="G214" i="19" s="1"/>
  <c r="S205" i="19"/>
  <c r="G215" i="19" s="1"/>
  <c r="S206" i="19"/>
  <c r="G216" i="19" s="1"/>
  <c r="H206" i="19"/>
  <c r="J454" i="3"/>
  <c r="K206" i="19"/>
  <c r="K205" i="19"/>
  <c r="E260" i="19"/>
  <c r="G410" i="13"/>
  <c r="G411" i="13" s="1"/>
  <c r="P206" i="19"/>
  <c r="D216" i="19" s="1"/>
  <c r="F204" i="19"/>
  <c r="I410" i="13"/>
  <c r="M205" i="19"/>
  <c r="M192" i="19" s="1"/>
  <c r="M204" i="19"/>
  <c r="P205" i="19"/>
  <c r="H410" i="13"/>
  <c r="H411" i="13" s="1"/>
  <c r="F215" i="19"/>
  <c r="G82" i="19"/>
  <c r="F175" i="19"/>
  <c r="E215" i="19"/>
  <c r="N205" i="19"/>
  <c r="F206" i="19"/>
  <c r="Q206" i="19"/>
  <c r="K204" i="19"/>
  <c r="K191" i="19" s="1"/>
  <c r="T204" i="19"/>
  <c r="O205" i="19"/>
  <c r="G206" i="19"/>
  <c r="R206" i="19"/>
  <c r="Q192" i="19"/>
  <c r="N204" i="19"/>
  <c r="O204" i="19"/>
  <c r="C1492" i="13" l="1"/>
  <c r="C1573" i="13"/>
  <c r="D12" i="18"/>
  <c r="F91" i="2"/>
  <c r="F116" i="2" s="1"/>
  <c r="G468" i="10"/>
  <c r="E513" i="10"/>
  <c r="E518" i="10" s="1"/>
  <c r="E522" i="10" s="1"/>
  <c r="G130" i="19"/>
  <c r="K282" i="3"/>
  <c r="D130" i="19"/>
  <c r="H282" i="3"/>
  <c r="F130" i="19"/>
  <c r="J282" i="3"/>
  <c r="H130" i="19"/>
  <c r="M282" i="3"/>
  <c r="E130" i="19"/>
  <c r="I282" i="3"/>
  <c r="I130" i="19"/>
  <c r="N282" i="3"/>
  <c r="J460" i="19"/>
  <c r="J461" i="19"/>
  <c r="K461" i="19"/>
  <c r="I460" i="19"/>
  <c r="I461" i="19"/>
  <c r="J454" i="19"/>
  <c r="J455" i="19"/>
  <c r="K455" i="19"/>
  <c r="I455" i="19"/>
  <c r="I454" i="19"/>
  <c r="E11" i="9"/>
  <c r="D120" i="14"/>
  <c r="D122" i="14" s="1"/>
  <c r="C42" i="17"/>
  <c r="F99" i="14"/>
  <c r="F114" i="14" s="1"/>
  <c r="D16" i="18"/>
  <c r="D131" i="14"/>
  <c r="D4" i="8"/>
  <c r="D5" i="8" s="1"/>
  <c r="F211" i="14"/>
  <c r="D513" i="10"/>
  <c r="D518" i="10" s="1"/>
  <c r="D523" i="10" s="1"/>
  <c r="C5" i="8"/>
  <c r="E12" i="9"/>
  <c r="G415" i="19"/>
  <c r="G416" i="19" s="1"/>
  <c r="F5" i="2"/>
  <c r="F18" i="2" s="1"/>
  <c r="E4" i="8"/>
  <c r="I16" i="9"/>
  <c r="H9" i="9"/>
  <c r="F18" i="14"/>
  <c r="F26" i="14" s="1"/>
  <c r="G2" i="14"/>
  <c r="E411" i="19"/>
  <c r="D411" i="19"/>
  <c r="F411" i="19"/>
  <c r="C411" i="19"/>
  <c r="T5" i="20"/>
  <c r="Z5" i="20" s="1"/>
  <c r="H411" i="19"/>
  <c r="H415" i="19"/>
  <c r="H416" i="19" s="1"/>
  <c r="J111" i="10"/>
  <c r="J41" i="10" s="1"/>
  <c r="I111" i="10"/>
  <c r="I4" i="10"/>
  <c r="I221" i="10" s="1"/>
  <c r="I210" i="10" s="1"/>
  <c r="D14" i="19"/>
  <c r="AN59" i="3"/>
  <c r="H214" i="3"/>
  <c r="C86" i="19"/>
  <c r="I5" i="20"/>
  <c r="D23" i="19"/>
  <c r="C14" i="19"/>
  <c r="AM59" i="3"/>
  <c r="E17" i="5"/>
  <c r="C14" i="18" s="1"/>
  <c r="R271" i="3"/>
  <c r="G397" i="3"/>
  <c r="F177" i="19" s="1"/>
  <c r="C23" i="19"/>
  <c r="G136" i="19"/>
  <c r="G149" i="19" s="1"/>
  <c r="P271" i="3"/>
  <c r="C34" i="19"/>
  <c r="M271" i="3"/>
  <c r="D34" i="19"/>
  <c r="N271" i="3"/>
  <c r="F136" i="19"/>
  <c r="F153" i="19" s="1"/>
  <c r="O271" i="3"/>
  <c r="C50" i="5"/>
  <c r="N140" i="2"/>
  <c r="F18" i="5"/>
  <c r="F22" i="5" s="1"/>
  <c r="D14" i="18"/>
  <c r="H21" i="5"/>
  <c r="C8" i="15" s="1"/>
  <c r="H54" i="10"/>
  <c r="D1523" i="13" s="1"/>
  <c r="J22" i="8"/>
  <c r="E629" i="13"/>
  <c r="Y629" i="13" s="1"/>
  <c r="AA36" i="3"/>
  <c r="Z36" i="3" s="1"/>
  <c r="F205" i="2"/>
  <c r="E27" i="10"/>
  <c r="E265" i="10" s="1"/>
  <c r="E266" i="10" s="1"/>
  <c r="E271" i="10" s="1"/>
  <c r="F462" i="10"/>
  <c r="E226" i="10"/>
  <c r="D171" i="10"/>
  <c r="D68" i="10"/>
  <c r="L140" i="2"/>
  <c r="M140" i="2"/>
  <c r="P407" i="3"/>
  <c r="P408" i="3"/>
  <c r="P409" i="3"/>
  <c r="E65" i="14"/>
  <c r="D102" i="8"/>
  <c r="E13" i="2"/>
  <c r="D14" i="3"/>
  <c r="AC14" i="3" s="1"/>
  <c r="D65" i="14"/>
  <c r="L36" i="3"/>
  <c r="L25" i="3"/>
  <c r="L225" i="3" s="1"/>
  <c r="F13" i="2"/>
  <c r="L48" i="3" s="1"/>
  <c r="E18" i="2"/>
  <c r="E4" i="2"/>
  <c r="D7" i="3"/>
  <c r="G81" i="14"/>
  <c r="AG81" i="14" s="1"/>
  <c r="F254" i="10"/>
  <c r="D496" i="10"/>
  <c r="D246" i="10"/>
  <c r="D247" i="10"/>
  <c r="E246" i="10"/>
  <c r="E254" i="10"/>
  <c r="E496" i="10"/>
  <c r="E247" i="10"/>
  <c r="C136" i="10"/>
  <c r="C489" i="10" s="1"/>
  <c r="C241" i="10"/>
  <c r="C242" i="10" s="1"/>
  <c r="E217" i="10"/>
  <c r="E234" i="10" s="1"/>
  <c r="E216" i="10"/>
  <c r="E233" i="10" s="1"/>
  <c r="E495" i="10"/>
  <c r="E215" i="10"/>
  <c r="F167" i="10"/>
  <c r="F169" i="10"/>
  <c r="G169" i="10"/>
  <c r="G226" i="10"/>
  <c r="C168" i="10"/>
  <c r="F171" i="10"/>
  <c r="E39" i="14" s="1"/>
  <c r="D167" i="10"/>
  <c r="D490" i="10" s="1"/>
  <c r="E169" i="10"/>
  <c r="E167" i="10"/>
  <c r="F464" i="10"/>
  <c r="F463" i="10"/>
  <c r="F474" i="10" s="1"/>
  <c r="E176" i="10"/>
  <c r="E138" i="10"/>
  <c r="D145" i="10"/>
  <c r="D138" i="10"/>
  <c r="F138" i="10"/>
  <c r="G138" i="10"/>
  <c r="E21" i="14"/>
  <c r="E84" i="10"/>
  <c r="J118" i="8"/>
  <c r="M114" i="8"/>
  <c r="L365" i="3"/>
  <c r="J104" i="8"/>
  <c r="K100" i="8"/>
  <c r="E61" i="14"/>
  <c r="E60" i="14" s="1"/>
  <c r="F513" i="10"/>
  <c r="E102" i="8"/>
  <c r="D25" i="17"/>
  <c r="D28" i="2"/>
  <c r="D13" i="17"/>
  <c r="D4" i="17"/>
  <c r="D27" i="17"/>
  <c r="D29" i="5"/>
  <c r="D231" i="2"/>
  <c r="E16" i="18"/>
  <c r="D171" i="14"/>
  <c r="D174" i="14" s="1"/>
  <c r="D176" i="14" s="1"/>
  <c r="F188" i="14"/>
  <c r="F194" i="14" s="1"/>
  <c r="F195" i="14" s="1"/>
  <c r="D36" i="2"/>
  <c r="J201" i="2"/>
  <c r="I200" i="2"/>
  <c r="G70" i="2"/>
  <c r="I185" i="2"/>
  <c r="I135" i="2"/>
  <c r="J186" i="2"/>
  <c r="J208" i="2"/>
  <c r="I207" i="2"/>
  <c r="K156" i="2"/>
  <c r="J153" i="2"/>
  <c r="C82" i="14"/>
  <c r="B4" i="18"/>
  <c r="D16" i="2"/>
  <c r="D47" i="2"/>
  <c r="D53" i="2"/>
  <c r="C16" i="2"/>
  <c r="C47" i="2"/>
  <c r="C50" i="2" s="1"/>
  <c r="C53" i="2"/>
  <c r="C62" i="2" s="1"/>
  <c r="N223" i="2"/>
  <c r="M144" i="2"/>
  <c r="C11" i="17"/>
  <c r="C13" i="17"/>
  <c r="B13" i="18"/>
  <c r="C27" i="17"/>
  <c r="C25" i="17"/>
  <c r="C231" i="2"/>
  <c r="G405" i="3"/>
  <c r="G407" i="3" s="1"/>
  <c r="N591" i="13"/>
  <c r="M591" i="13"/>
  <c r="W591" i="13"/>
  <c r="J56" i="8"/>
  <c r="G269" i="13"/>
  <c r="E591" i="13"/>
  <c r="D1274" i="13"/>
  <c r="N1274" i="13" s="1"/>
  <c r="O56" i="3"/>
  <c r="G425" i="3"/>
  <c r="G427" i="3" s="1"/>
  <c r="O420" i="3"/>
  <c r="O425" i="3" s="1"/>
  <c r="O400" i="3"/>
  <c r="O405" i="3"/>
  <c r="J219" i="3"/>
  <c r="O276" i="3"/>
  <c r="E35" i="19" s="1"/>
  <c r="D86" i="19"/>
  <c r="I214" i="3"/>
  <c r="J243" i="10"/>
  <c r="K243" i="10" s="1"/>
  <c r="D394" i="10"/>
  <c r="D206" i="10"/>
  <c r="C7" i="17"/>
  <c r="F162" i="10"/>
  <c r="E35" i="14" s="1"/>
  <c r="L332" i="10"/>
  <c r="L333" i="10" s="1"/>
  <c r="E22" i="14"/>
  <c r="C25" i="10"/>
  <c r="C209" i="10" s="1"/>
  <c r="C210" i="10" s="1"/>
  <c r="G495" i="10"/>
  <c r="O176" i="10"/>
  <c r="F5" i="21"/>
  <c r="D140" i="10"/>
  <c r="C31" i="14" s="1"/>
  <c r="D5" i="21"/>
  <c r="E5" i="21"/>
  <c r="D22" i="21"/>
  <c r="G105" i="14"/>
  <c r="G104" i="14" s="1"/>
  <c r="C92" i="10"/>
  <c r="H272" i="13"/>
  <c r="C27" i="10"/>
  <c r="C265" i="10" s="1"/>
  <c r="C266" i="10" s="1"/>
  <c r="G79" i="10"/>
  <c r="I280" i="10"/>
  <c r="J341" i="10"/>
  <c r="I339" i="10"/>
  <c r="I340" i="10" s="1"/>
  <c r="C76" i="14"/>
  <c r="C77" i="14" s="1"/>
  <c r="F36" i="14"/>
  <c r="AF36" i="14" s="1"/>
  <c r="H165" i="10"/>
  <c r="W398" i="10"/>
  <c r="E405" i="10"/>
  <c r="F246" i="10"/>
  <c r="F496" i="10"/>
  <c r="F136" i="10"/>
  <c r="F149" i="10" s="1"/>
  <c r="C271" i="13"/>
  <c r="F328" i="10"/>
  <c r="E49" i="8"/>
  <c r="D463" i="10"/>
  <c r="D474" i="10" s="1"/>
  <c r="C22" i="14"/>
  <c r="G252" i="10"/>
  <c r="G254" i="10" s="1"/>
  <c r="H249" i="10"/>
  <c r="D27" i="10"/>
  <c r="D265" i="10" s="1"/>
  <c r="D266" i="10" s="1"/>
  <c r="C145" i="10"/>
  <c r="C140" i="10"/>
  <c r="C142" i="10" s="1"/>
  <c r="F25" i="10"/>
  <c r="F209" i="10" s="1"/>
  <c r="F210" i="10" s="1"/>
  <c r="F84" i="10"/>
  <c r="F86" i="10" s="1"/>
  <c r="F468" i="10" s="1"/>
  <c r="F38" i="14"/>
  <c r="AF38" i="14" s="1"/>
  <c r="G164" i="10"/>
  <c r="H163" i="10"/>
  <c r="F28" i="14"/>
  <c r="AF28" i="14" s="1"/>
  <c r="H134" i="10"/>
  <c r="C267" i="13"/>
  <c r="C268" i="13" s="1"/>
  <c r="E54" i="8"/>
  <c r="E22" i="21"/>
  <c r="C206" i="10"/>
  <c r="F247" i="10"/>
  <c r="D25" i="10"/>
  <c r="D209" i="10" s="1"/>
  <c r="D210" i="10" s="1"/>
  <c r="D84" i="10"/>
  <c r="D85" i="10" s="1"/>
  <c r="D39" i="14"/>
  <c r="E173" i="10"/>
  <c r="F30" i="14"/>
  <c r="AF30" i="14" s="1"/>
  <c r="H132" i="10"/>
  <c r="G133" i="10"/>
  <c r="F516" i="10"/>
  <c r="E70" i="14"/>
  <c r="E507" i="10"/>
  <c r="E399" i="10"/>
  <c r="E404" i="10" s="1"/>
  <c r="E38" i="10"/>
  <c r="E35" i="10"/>
  <c r="N8" i="14"/>
  <c r="AN39" i="14"/>
  <c r="N40" i="14"/>
  <c r="AN40" i="14" s="1"/>
  <c r="D405" i="10"/>
  <c r="V398" i="10"/>
  <c r="D5" i="17"/>
  <c r="D7" i="17"/>
  <c r="D36" i="10"/>
  <c r="J20" i="14"/>
  <c r="AJ20" i="14" s="1"/>
  <c r="K465" i="10"/>
  <c r="L81" i="10"/>
  <c r="E276" i="10"/>
  <c r="F273" i="10"/>
  <c r="F22" i="21"/>
  <c r="I21" i="21"/>
  <c r="J21" i="21" s="1"/>
  <c r="K21" i="21" s="1"/>
  <c r="L21" i="21" s="1"/>
  <c r="M21" i="21" s="1"/>
  <c r="N21" i="21" s="1"/>
  <c r="O21" i="21" s="1"/>
  <c r="H268" i="10"/>
  <c r="I267" i="10"/>
  <c r="F27" i="10"/>
  <c r="F265" i="10" s="1"/>
  <c r="F266" i="10" s="1"/>
  <c r="C469" i="10"/>
  <c r="C89" i="10"/>
  <c r="C470" i="10" s="1"/>
  <c r="C475" i="10" s="1"/>
  <c r="E145" i="10"/>
  <c r="E140" i="10"/>
  <c r="J4" i="10"/>
  <c r="F930" i="13"/>
  <c r="F925" i="13" s="1"/>
  <c r="F936" i="13" s="1"/>
  <c r="E936" i="13" s="1"/>
  <c r="D936" i="13" s="1"/>
  <c r="C936" i="13" s="1"/>
  <c r="H5" i="13"/>
  <c r="H4" i="13" s="1"/>
  <c r="AI59" i="3"/>
  <c r="I130" i="8"/>
  <c r="L481" i="10"/>
  <c r="J65" i="3"/>
  <c r="F803" i="13"/>
  <c r="I803" i="13" s="1"/>
  <c r="R183" i="13"/>
  <c r="Q198" i="13" s="1"/>
  <c r="R191" i="13"/>
  <c r="Q202" i="13" s="1"/>
  <c r="R187" i="13"/>
  <c r="Q201" i="13" s="1"/>
  <c r="F81" i="14"/>
  <c r="AF81" i="14" s="1"/>
  <c r="I80" i="14"/>
  <c r="AI80" i="14" s="1"/>
  <c r="J10" i="2"/>
  <c r="H16" i="20"/>
  <c r="G842" i="13"/>
  <c r="I213" i="13"/>
  <c r="J74" i="8"/>
  <c r="I72" i="8"/>
  <c r="K4" i="4"/>
  <c r="N56" i="3"/>
  <c r="C229" i="19"/>
  <c r="J276" i="3"/>
  <c r="E227" i="19"/>
  <c r="I411" i="13"/>
  <c r="N357" i="3"/>
  <c r="F72" i="19"/>
  <c r="E55" i="19"/>
  <c r="K65" i="3"/>
  <c r="I425" i="3"/>
  <c r="H425" i="3"/>
  <c r="E229" i="19"/>
  <c r="K219" i="3"/>
  <c r="G72" i="19"/>
  <c r="C286" i="19" s="1"/>
  <c r="E279" i="19"/>
  <c r="N420" i="3"/>
  <c r="H136" i="19"/>
  <c r="J61" i="3"/>
  <c r="E894" i="13"/>
  <c r="E895" i="13" s="1"/>
  <c r="N61" i="3"/>
  <c r="H894" i="13"/>
  <c r="H895" i="13" s="1"/>
  <c r="H61" i="3"/>
  <c r="I136" i="19"/>
  <c r="N276" i="3"/>
  <c r="D35" i="19" s="1"/>
  <c r="K61" i="3"/>
  <c r="F894" i="13"/>
  <c r="F895" i="13" s="1"/>
  <c r="D894" i="13"/>
  <c r="D895" i="13" s="1"/>
  <c r="I61" i="3"/>
  <c r="G894" i="13"/>
  <c r="G895" i="13" s="1"/>
  <c r="E803" i="13"/>
  <c r="H803" i="13" s="1"/>
  <c r="G287" i="13"/>
  <c r="D277" i="13"/>
  <c r="F285" i="13"/>
  <c r="R144" i="13"/>
  <c r="D278" i="13"/>
  <c r="D291" i="13"/>
  <c r="D293" i="13"/>
  <c r="D295" i="13"/>
  <c r="D289" i="13"/>
  <c r="D292" i="13"/>
  <c r="D279" i="13"/>
  <c r="D294" i="13"/>
  <c r="F279" i="13"/>
  <c r="R181" i="13"/>
  <c r="R174" i="13"/>
  <c r="E802" i="13"/>
  <c r="H802" i="13" s="1"/>
  <c r="K802" i="13" s="1"/>
  <c r="F802" i="13"/>
  <c r="I802" i="13" s="1"/>
  <c r="L802" i="13" s="1"/>
  <c r="G802" i="13"/>
  <c r="J802" i="13" s="1"/>
  <c r="M802" i="13" s="1"/>
  <c r="H67" i="13"/>
  <c r="I65" i="13"/>
  <c r="G68" i="13"/>
  <c r="H60" i="3"/>
  <c r="N120" i="19" s="1"/>
  <c r="H225" i="19"/>
  <c r="H191" i="19"/>
  <c r="H192" i="19"/>
  <c r="C837" i="13"/>
  <c r="N60" i="3"/>
  <c r="I71" i="19" s="1"/>
  <c r="H56" i="3"/>
  <c r="H90" i="3"/>
  <c r="H93" i="3" s="1"/>
  <c r="G191" i="19"/>
  <c r="K187" i="19"/>
  <c r="R210" i="19" s="1"/>
  <c r="D210" i="19"/>
  <c r="O193" i="19"/>
  <c r="F56" i="3"/>
  <c r="K301" i="3"/>
  <c r="C280" i="19" s="1"/>
  <c r="C216" i="19"/>
  <c r="H193" i="19"/>
  <c r="F288" i="19"/>
  <c r="H188" i="19"/>
  <c r="N90" i="3"/>
  <c r="AN90" i="3" s="1"/>
  <c r="E286" i="19"/>
  <c r="Q191" i="19"/>
  <c r="M191" i="19"/>
  <c r="G193" i="19"/>
  <c r="E264" i="19"/>
  <c r="E405" i="3"/>
  <c r="E409" i="3" s="1"/>
  <c r="J420" i="3"/>
  <c r="J425" i="3" s="1"/>
  <c r="K367" i="3"/>
  <c r="K56" i="3"/>
  <c r="K375" i="3"/>
  <c r="I56" i="3"/>
  <c r="C405" i="3"/>
  <c r="C407" i="3" s="1"/>
  <c r="N323" i="3"/>
  <c r="N397" i="3"/>
  <c r="N442" i="3"/>
  <c r="N405" i="3"/>
  <c r="N407" i="3" s="1"/>
  <c r="H178" i="19"/>
  <c r="I442" i="3"/>
  <c r="I405" i="3"/>
  <c r="I407" i="3" s="1"/>
  <c r="I397" i="3"/>
  <c r="C271" i="19"/>
  <c r="J323" i="3"/>
  <c r="G90" i="3"/>
  <c r="G60" i="3"/>
  <c r="E280" i="19"/>
  <c r="G323" i="3"/>
  <c r="I296" i="3"/>
  <c r="K296" i="3" s="1"/>
  <c r="C275" i="19" s="1"/>
  <c r="K294" i="3"/>
  <c r="C273" i="19" s="1"/>
  <c r="M90" i="3"/>
  <c r="AM90" i="3" s="1"/>
  <c r="M60" i="3"/>
  <c r="AH59" i="3"/>
  <c r="E86" i="19"/>
  <c r="J330" i="3"/>
  <c r="C78" i="13"/>
  <c r="G229" i="19"/>
  <c r="G227" i="19"/>
  <c r="G188" i="19"/>
  <c r="M276" i="3"/>
  <c r="C35" i="19" s="1"/>
  <c r="F90" i="3"/>
  <c r="F60" i="3"/>
  <c r="F188" i="19"/>
  <c r="F229" i="19"/>
  <c r="K276" i="3"/>
  <c r="F227" i="19"/>
  <c r="H422" i="3"/>
  <c r="H447" i="3" s="1"/>
  <c r="H421" i="3"/>
  <c r="H446" i="3" s="1"/>
  <c r="Q209" i="19"/>
  <c r="C209" i="19"/>
  <c r="I90" i="3"/>
  <c r="AD59" i="3"/>
  <c r="I60" i="3"/>
  <c r="G178" i="19"/>
  <c r="H442" i="3"/>
  <c r="I422" i="3" s="1"/>
  <c r="I447" i="3" s="1"/>
  <c r="H397" i="3"/>
  <c r="H405" i="3"/>
  <c r="H407" i="3" s="1"/>
  <c r="H215" i="19"/>
  <c r="P192" i="19"/>
  <c r="K192" i="19"/>
  <c r="D215" i="19"/>
  <c r="F405" i="3"/>
  <c r="F400" i="3"/>
  <c r="C256" i="19"/>
  <c r="M56" i="3"/>
  <c r="G56" i="3"/>
  <c r="E60" i="3"/>
  <c r="E90" i="3"/>
  <c r="K323" i="3"/>
  <c r="M323" i="3"/>
  <c r="G192" i="19"/>
  <c r="K193" i="19"/>
  <c r="P193" i="19"/>
  <c r="J442" i="3"/>
  <c r="K422" i="3" s="1"/>
  <c r="K178" i="19"/>
  <c r="J397" i="3"/>
  <c r="J405" i="3"/>
  <c r="J407" i="3" s="1"/>
  <c r="C227" i="19"/>
  <c r="H276" i="3"/>
  <c r="J60" i="3"/>
  <c r="AE59" i="3"/>
  <c r="J90" i="3"/>
  <c r="AJ90" i="3" s="1"/>
  <c r="M442" i="3"/>
  <c r="M405" i="3"/>
  <c r="M407" i="3" s="1"/>
  <c r="N178" i="19"/>
  <c r="M397" i="3"/>
  <c r="D400" i="3"/>
  <c r="D405" i="3"/>
  <c r="K60" i="3"/>
  <c r="K90" i="3"/>
  <c r="AK90" i="3" s="1"/>
  <c r="AF59" i="3"/>
  <c r="D252" i="19"/>
  <c r="D227" i="19"/>
  <c r="D229" i="19"/>
  <c r="I276" i="3"/>
  <c r="N191" i="19"/>
  <c r="H260" i="19"/>
  <c r="H323" i="3"/>
  <c r="J56" i="3"/>
  <c r="K405" i="3"/>
  <c r="K407" i="3" s="1"/>
  <c r="M178" i="19"/>
  <c r="K397" i="3"/>
  <c r="K442" i="3"/>
  <c r="K425" i="3"/>
  <c r="P435" i="3" s="1"/>
  <c r="M420" i="3"/>
  <c r="M425" i="3" s="1"/>
  <c r="C252" i="19"/>
  <c r="H214" i="19"/>
  <c r="P191" i="19"/>
  <c r="C215" i="19"/>
  <c r="C220" i="19" s="1"/>
  <c r="C214" i="19"/>
  <c r="O192" i="19"/>
  <c r="O191" i="19"/>
  <c r="E216" i="19"/>
  <c r="M193" i="19"/>
  <c r="Q193" i="19"/>
  <c r="F216" i="19"/>
  <c r="N193" i="19"/>
  <c r="N192" i="19"/>
  <c r="E393" i="10" l="1"/>
  <c r="E67" i="10"/>
  <c r="I368" i="10"/>
  <c r="H61" i="8" s="1"/>
  <c r="H62" i="8" s="1"/>
  <c r="E524" i="10"/>
  <c r="D521" i="10"/>
  <c r="D527" i="10" s="1"/>
  <c r="E521" i="10"/>
  <c r="E527" i="10" s="1"/>
  <c r="E523" i="10"/>
  <c r="E528" i="10" s="1"/>
  <c r="E83" i="10"/>
  <c r="E488" i="10" s="1"/>
  <c r="E480" i="10" s="1"/>
  <c r="E86" i="10"/>
  <c r="E468" i="10" s="1"/>
  <c r="T16" i="20"/>
  <c r="Z16" i="20"/>
  <c r="D522" i="10"/>
  <c r="N12" i="19"/>
  <c r="O177" i="19"/>
  <c r="F4" i="2"/>
  <c r="F120" i="14"/>
  <c r="F122" i="14" s="1"/>
  <c r="F131" i="14"/>
  <c r="F118" i="14"/>
  <c r="F213" i="14"/>
  <c r="F215" i="14" s="1"/>
  <c r="F221" i="14" s="1"/>
  <c r="F224" i="14" s="1"/>
  <c r="D524" i="10"/>
  <c r="D528" i="10" s="1"/>
  <c r="E497" i="10"/>
  <c r="E278" i="10"/>
  <c r="E270" i="10"/>
  <c r="E283" i="10" s="1"/>
  <c r="E24" i="5"/>
  <c r="L7" i="3"/>
  <c r="E18" i="5"/>
  <c r="E22" i="5" s="1"/>
  <c r="G18" i="14"/>
  <c r="G26" i="14" s="1"/>
  <c r="H2" i="14"/>
  <c r="AF26" i="14"/>
  <c r="F34" i="14"/>
  <c r="J16" i="9"/>
  <c r="I9" i="9"/>
  <c r="D50" i="2"/>
  <c r="B5" i="18" s="1"/>
  <c r="D48" i="2"/>
  <c r="F629" i="13"/>
  <c r="P629" i="13" s="1"/>
  <c r="I16" i="20"/>
  <c r="J112" i="10"/>
  <c r="I327" i="10"/>
  <c r="F273" i="13" s="1"/>
  <c r="D15" i="19"/>
  <c r="I41" i="10"/>
  <c r="K111" i="10"/>
  <c r="O5" i="20"/>
  <c r="U5" i="20" s="1"/>
  <c r="AA5" i="20" s="1"/>
  <c r="J5" i="20"/>
  <c r="K5" i="20" s="1"/>
  <c r="N425" i="3"/>
  <c r="K264" i="19" s="1"/>
  <c r="C15" i="19"/>
  <c r="F16" i="18"/>
  <c r="H264" i="19"/>
  <c r="H145" i="19"/>
  <c r="G143" i="19"/>
  <c r="G145" i="19"/>
  <c r="G153" i="19"/>
  <c r="F149" i="19"/>
  <c r="H12" i="2"/>
  <c r="O629" i="13"/>
  <c r="I21" i="5"/>
  <c r="D8" i="15" s="1"/>
  <c r="J54" i="10"/>
  <c r="F1523" i="13" s="1"/>
  <c r="F1529" i="13" s="1"/>
  <c r="J195" i="2"/>
  <c r="I36" i="20" s="1"/>
  <c r="K22" i="8"/>
  <c r="E259" i="10"/>
  <c r="E235" i="10" s="1"/>
  <c r="E236" i="10" s="1"/>
  <c r="P402" i="3"/>
  <c r="P403" i="3" s="1"/>
  <c r="E29" i="10"/>
  <c r="D9" i="14" s="1"/>
  <c r="C407" i="13"/>
  <c r="AC7" i="3"/>
  <c r="E27" i="2"/>
  <c r="E28" i="2" s="1"/>
  <c r="D73" i="14"/>
  <c r="D6" i="3"/>
  <c r="E35" i="2"/>
  <c r="E36" i="2" s="1"/>
  <c r="C2" i="18"/>
  <c r="C9" i="18" s="1"/>
  <c r="E15" i="2"/>
  <c r="C62" i="13"/>
  <c r="E58" i="2"/>
  <c r="D86" i="8"/>
  <c r="C3" i="18"/>
  <c r="E9" i="2"/>
  <c r="E23" i="2"/>
  <c r="E24" i="2" s="1"/>
  <c r="C270" i="10"/>
  <c r="C497" i="10"/>
  <c r="C271" i="10"/>
  <c r="C524" i="10" s="1"/>
  <c r="C278" i="10"/>
  <c r="D270" i="10"/>
  <c r="D497" i="10"/>
  <c r="D271" i="10"/>
  <c r="D278" i="10"/>
  <c r="C496" i="10"/>
  <c r="C246" i="10"/>
  <c r="C521" i="10" s="1"/>
  <c r="C247" i="10"/>
  <c r="E223" i="10"/>
  <c r="C217" i="10"/>
  <c r="C234" i="10" s="1"/>
  <c r="C216" i="10"/>
  <c r="C233" i="10" s="1"/>
  <c r="C236" i="10"/>
  <c r="C215" i="10"/>
  <c r="C495" i="10"/>
  <c r="C226" i="10"/>
  <c r="F216" i="10"/>
  <c r="F233" i="10" s="1"/>
  <c r="F217" i="10"/>
  <c r="F234" i="10" s="1"/>
  <c r="F495" i="10"/>
  <c r="L340" i="3"/>
  <c r="F215" i="10"/>
  <c r="D216" i="10"/>
  <c r="D233" i="10" s="1"/>
  <c r="D217" i="10"/>
  <c r="D234" i="10" s="1"/>
  <c r="D236" i="10"/>
  <c r="D215" i="10"/>
  <c r="D495" i="10"/>
  <c r="D226" i="10"/>
  <c r="F226" i="10"/>
  <c r="C167" i="10"/>
  <c r="C490" i="10" s="1"/>
  <c r="C171" i="10"/>
  <c r="C173" i="10" s="1"/>
  <c r="C176" i="10"/>
  <c r="E490" i="10"/>
  <c r="D169" i="10"/>
  <c r="F173" i="10"/>
  <c r="F179" i="10"/>
  <c r="F152" i="10"/>
  <c r="F151" i="10" s="1"/>
  <c r="F157" i="10" s="1"/>
  <c r="F188" i="10" s="1"/>
  <c r="F182" i="10" s="1"/>
  <c r="F102" i="10" s="1"/>
  <c r="F103" i="10" s="1"/>
  <c r="F148" i="10"/>
  <c r="F489" i="10"/>
  <c r="F145" i="10"/>
  <c r="E45" i="14"/>
  <c r="D176" i="10"/>
  <c r="E85" i="10"/>
  <c r="F85" i="10"/>
  <c r="G85" i="10"/>
  <c r="K332" i="10"/>
  <c r="K333" i="10" s="1"/>
  <c r="E92" i="10"/>
  <c r="D142" i="10"/>
  <c r="J244" i="10"/>
  <c r="K118" i="8"/>
  <c r="N114" i="8"/>
  <c r="L100" i="8"/>
  <c r="K104" i="8"/>
  <c r="G409" i="3"/>
  <c r="G402" i="3" s="1"/>
  <c r="G403" i="3" s="1"/>
  <c r="G408" i="3"/>
  <c r="G17" i="5"/>
  <c r="K201" i="2"/>
  <c r="J200" i="2"/>
  <c r="C86" i="14"/>
  <c r="D56" i="2"/>
  <c r="D62" i="2"/>
  <c r="O223" i="2"/>
  <c r="O144" i="2" s="1"/>
  <c r="N144" i="2"/>
  <c r="J185" i="2"/>
  <c r="K186" i="2"/>
  <c r="J135" i="2"/>
  <c r="K208" i="2"/>
  <c r="J207" i="2"/>
  <c r="C63" i="2"/>
  <c r="C124" i="2"/>
  <c r="C123" i="2" s="1"/>
  <c r="C122" i="2" s="1"/>
  <c r="C168" i="2" s="1"/>
  <c r="C177" i="2" s="1"/>
  <c r="L156" i="2"/>
  <c r="K153" i="2"/>
  <c r="G126" i="2"/>
  <c r="C630" i="13"/>
  <c r="C592" i="13"/>
  <c r="I68" i="2"/>
  <c r="H70" i="2"/>
  <c r="G426" i="3"/>
  <c r="O591" i="13"/>
  <c r="Y591" i="13"/>
  <c r="H269" i="13"/>
  <c r="K56" i="8"/>
  <c r="F591" i="13"/>
  <c r="E1274" i="13"/>
  <c r="O1274" i="13" s="1"/>
  <c r="M264" i="19"/>
  <c r="F264" i="19"/>
  <c r="F238" i="19"/>
  <c r="F55" i="19"/>
  <c r="O435" i="3"/>
  <c r="O426" i="3"/>
  <c r="O407" i="3"/>
  <c r="O408" i="3"/>
  <c r="O409" i="3"/>
  <c r="O422" i="3"/>
  <c r="O447" i="3" s="1"/>
  <c r="I105" i="14"/>
  <c r="I104" i="14" s="1"/>
  <c r="I217" i="10"/>
  <c r="I234" i="10" s="1"/>
  <c r="I272" i="13"/>
  <c r="D173" i="10"/>
  <c r="G80" i="10"/>
  <c r="G463" i="10"/>
  <c r="G474" i="10" s="1"/>
  <c r="H79" i="10"/>
  <c r="F22" i="14"/>
  <c r="AF22" i="14" s="1"/>
  <c r="F176" i="10"/>
  <c r="F490" i="10"/>
  <c r="G36" i="14"/>
  <c r="AG36" i="14" s="1"/>
  <c r="I165" i="10"/>
  <c r="K244" i="10"/>
  <c r="L243" i="10"/>
  <c r="G247" i="10"/>
  <c r="G246" i="10"/>
  <c r="G496" i="10"/>
  <c r="I268" i="10"/>
  <c r="J267" i="10"/>
  <c r="E40" i="14"/>
  <c r="E8" i="14"/>
  <c r="C7" i="14"/>
  <c r="C32" i="14"/>
  <c r="E69" i="14"/>
  <c r="F515" i="10"/>
  <c r="G38" i="14"/>
  <c r="AG38" i="14" s="1"/>
  <c r="H164" i="10"/>
  <c r="I163" i="10"/>
  <c r="J339" i="10"/>
  <c r="J340" i="10" s="1"/>
  <c r="K341" i="10"/>
  <c r="G28" i="14"/>
  <c r="AG28" i="14" s="1"/>
  <c r="I134" i="10"/>
  <c r="I495" i="10"/>
  <c r="D31" i="14"/>
  <c r="E142" i="10"/>
  <c r="F276" i="10"/>
  <c r="F278" i="10" s="1"/>
  <c r="G273" i="10"/>
  <c r="F37" i="14"/>
  <c r="AF37" i="14" s="1"/>
  <c r="G162" i="10"/>
  <c r="J280" i="10"/>
  <c r="E5" i="17"/>
  <c r="E7" i="17"/>
  <c r="E36" i="10"/>
  <c r="E394" i="10"/>
  <c r="H252" i="10"/>
  <c r="I249" i="10"/>
  <c r="D40" i="14"/>
  <c r="D8" i="14"/>
  <c r="F329" i="10"/>
  <c r="E50" i="8" s="1"/>
  <c r="E48" i="8" s="1"/>
  <c r="E64" i="8" s="1"/>
  <c r="F259" i="10"/>
  <c r="F29" i="14"/>
  <c r="AF29" i="14" s="1"/>
  <c r="G131" i="10"/>
  <c r="F27" i="14" s="1"/>
  <c r="AF27" i="14" s="1"/>
  <c r="G30" i="14"/>
  <c r="AG30" i="14" s="1"/>
  <c r="H133" i="10"/>
  <c r="I132" i="10"/>
  <c r="F83" i="10"/>
  <c r="F92" i="10"/>
  <c r="K20" i="14"/>
  <c r="AK20" i="14" s="1"/>
  <c r="L465" i="10"/>
  <c r="M81" i="10"/>
  <c r="D87" i="10"/>
  <c r="D92" i="10"/>
  <c r="J327" i="10"/>
  <c r="G273" i="13" s="1"/>
  <c r="J368" i="10"/>
  <c r="I61" i="8" s="1"/>
  <c r="I62" i="8" s="1"/>
  <c r="J221" i="10"/>
  <c r="J210" i="10" s="1"/>
  <c r="K4" i="10"/>
  <c r="F931" i="13"/>
  <c r="F918" i="13"/>
  <c r="F919" i="13" s="1"/>
  <c r="AI90" i="3"/>
  <c r="Q38" i="3"/>
  <c r="D863" i="13"/>
  <c r="J130" i="8"/>
  <c r="M481" i="10"/>
  <c r="H842" i="13"/>
  <c r="K74" i="8"/>
  <c r="J72" i="8"/>
  <c r="L4" i="4"/>
  <c r="I427" i="3"/>
  <c r="I312" i="3" s="1"/>
  <c r="I153" i="19"/>
  <c r="I145" i="19"/>
  <c r="N93" i="3"/>
  <c r="H153" i="19"/>
  <c r="H143" i="19"/>
  <c r="H149" i="19"/>
  <c r="D71" i="19"/>
  <c r="G298" i="13"/>
  <c r="I149" i="19"/>
  <c r="I143" i="19"/>
  <c r="G285" i="13"/>
  <c r="I67" i="13"/>
  <c r="I68" i="13" s="1"/>
  <c r="J65" i="13"/>
  <c r="Q196" i="13"/>
  <c r="H68" i="13"/>
  <c r="N67" i="13"/>
  <c r="R182" i="13"/>
  <c r="Q197" i="13" s="1"/>
  <c r="R176" i="13"/>
  <c r="G292" i="13"/>
  <c r="G279" i="13"/>
  <c r="G293" i="13"/>
  <c r="G291" i="13"/>
  <c r="G294" i="13"/>
  <c r="G289" i="13"/>
  <c r="G295" i="13"/>
  <c r="G278" i="13"/>
  <c r="G277" i="13"/>
  <c r="T120" i="19"/>
  <c r="C408" i="3"/>
  <c r="C409" i="3"/>
  <c r="N422" i="3"/>
  <c r="N447" i="3" s="1"/>
  <c r="H99" i="3"/>
  <c r="H100" i="3" s="1"/>
  <c r="E407" i="3"/>
  <c r="E402" i="3" s="1"/>
  <c r="H445" i="3"/>
  <c r="M408" i="3"/>
  <c r="D220" i="19"/>
  <c r="N99" i="3"/>
  <c r="I408" i="3"/>
  <c r="J427" i="3"/>
  <c r="J422" i="3"/>
  <c r="J447" i="3" s="1"/>
  <c r="C219" i="19"/>
  <c r="K408" i="3"/>
  <c r="H229" i="19"/>
  <c r="H227" i="19"/>
  <c r="E408" i="3"/>
  <c r="N408" i="3"/>
  <c r="N409" i="3"/>
  <c r="N402" i="3" s="1"/>
  <c r="N441" i="3"/>
  <c r="E266" i="19"/>
  <c r="M441" i="3"/>
  <c r="N177" i="19"/>
  <c r="M409" i="3"/>
  <c r="M402" i="3" s="1"/>
  <c r="O296" i="19" s="1"/>
  <c r="C211" i="19"/>
  <c r="C221" i="19" s="1"/>
  <c r="Q211" i="19"/>
  <c r="S120" i="19"/>
  <c r="E288" i="19"/>
  <c r="K177" i="19"/>
  <c r="J441" i="3"/>
  <c r="J409" i="3"/>
  <c r="J402" i="3" s="1"/>
  <c r="M296" i="19" s="1"/>
  <c r="E93" i="3"/>
  <c r="E99" i="3"/>
  <c r="E100" i="3" s="1"/>
  <c r="K441" i="3"/>
  <c r="M421" i="3" s="1"/>
  <c r="M177" i="19"/>
  <c r="K409" i="3"/>
  <c r="K402" i="3" s="1"/>
  <c r="N296" i="19" s="1"/>
  <c r="K123" i="19"/>
  <c r="E298" i="13"/>
  <c r="R120" i="19"/>
  <c r="H71" i="19"/>
  <c r="D288" i="19" s="1"/>
  <c r="G99" i="3"/>
  <c r="G100" i="3" s="1"/>
  <c r="G93" i="3"/>
  <c r="J93" i="3"/>
  <c r="J99" i="3"/>
  <c r="AE90" i="3"/>
  <c r="J408" i="3"/>
  <c r="F99" i="3"/>
  <c r="F100" i="3" s="1"/>
  <c r="F93" i="3"/>
  <c r="M93" i="3"/>
  <c r="M99" i="3"/>
  <c r="AH90" i="3"/>
  <c r="E282" i="19"/>
  <c r="E256" i="19"/>
  <c r="C258" i="19"/>
  <c r="K447" i="3"/>
  <c r="AF90" i="3"/>
  <c r="K99" i="3"/>
  <c r="K93" i="3"/>
  <c r="G71" i="19"/>
  <c r="C288" i="19" s="1"/>
  <c r="Q120" i="19"/>
  <c r="D256" i="19"/>
  <c r="M422" i="3"/>
  <c r="D407" i="3"/>
  <c r="D408" i="3"/>
  <c r="D409" i="3"/>
  <c r="H408" i="3"/>
  <c r="AD90" i="3"/>
  <c r="I99" i="3"/>
  <c r="I101" i="3" s="1"/>
  <c r="I93" i="3"/>
  <c r="H177" i="19"/>
  <c r="I441" i="3"/>
  <c r="I409" i="3"/>
  <c r="I402" i="3" s="1"/>
  <c r="K296" i="19" s="1"/>
  <c r="H427" i="3"/>
  <c r="H312" i="3" s="1"/>
  <c r="M120" i="19"/>
  <c r="F298" i="13"/>
  <c r="C71" i="19"/>
  <c r="C123" i="19"/>
  <c r="D298" i="13"/>
  <c r="H298" i="13"/>
  <c r="E71" i="19"/>
  <c r="O120" i="19"/>
  <c r="C260" i="19"/>
  <c r="K435" i="3"/>
  <c r="C264" i="19" s="1"/>
  <c r="K427" i="3"/>
  <c r="P437" i="3" s="1"/>
  <c r="G264" i="19"/>
  <c r="D260" i="19"/>
  <c r="M435" i="3"/>
  <c r="D264" i="19" s="1"/>
  <c r="M427" i="3"/>
  <c r="F71" i="19"/>
  <c r="P120" i="19"/>
  <c r="I298" i="13"/>
  <c r="E273" i="19"/>
  <c r="E275" i="19"/>
  <c r="F407" i="3"/>
  <c r="F408" i="3"/>
  <c r="F409" i="3"/>
  <c r="G177" i="19"/>
  <c r="H409" i="3"/>
  <c r="H402" i="3" s="1"/>
  <c r="H296" i="19" s="1"/>
  <c r="H441" i="3"/>
  <c r="D209" i="19"/>
  <c r="D219" i="19" s="1"/>
  <c r="K225" i="19"/>
  <c r="K186" i="19"/>
  <c r="R209" i="19" s="1"/>
  <c r="I195" i="2" l="1"/>
  <c r="Q5" i="20"/>
  <c r="W5" i="20" s="1"/>
  <c r="L5" i="20"/>
  <c r="R5" i="20" s="1"/>
  <c r="X5" i="20" s="1"/>
  <c r="E50" i="14"/>
  <c r="F98" i="10"/>
  <c r="F99" i="10" s="1"/>
  <c r="U16" i="20"/>
  <c r="AA16" i="20"/>
  <c r="O36" i="20"/>
  <c r="D630" i="13"/>
  <c r="X630" i="13" s="1"/>
  <c r="F32" i="2"/>
  <c r="F16" i="10"/>
  <c r="E232" i="10"/>
  <c r="E228" i="10" s="1"/>
  <c r="D35" i="8" s="1"/>
  <c r="Z629" i="13"/>
  <c r="K16" i="9"/>
  <c r="J9" i="9"/>
  <c r="F56" i="14"/>
  <c r="AF34" i="14"/>
  <c r="H18" i="14"/>
  <c r="H26" i="14" s="1"/>
  <c r="I2" i="14"/>
  <c r="AG26" i="14"/>
  <c r="G34" i="14"/>
  <c r="K112" i="10"/>
  <c r="M1245" i="13"/>
  <c r="J21" i="5"/>
  <c r="E8" i="15" s="1"/>
  <c r="G16" i="18"/>
  <c r="K41" i="10"/>
  <c r="J1301" i="13"/>
  <c r="I54" i="10"/>
  <c r="N435" i="3"/>
  <c r="L111" i="10"/>
  <c r="L41" i="10" s="1"/>
  <c r="P5" i="20"/>
  <c r="V5" i="20" s="1"/>
  <c r="AB5" i="20" s="1"/>
  <c r="C1275" i="13"/>
  <c r="E863" i="13"/>
  <c r="D592" i="13"/>
  <c r="N592" i="13" s="1"/>
  <c r="D956" i="13"/>
  <c r="AN99" i="3"/>
  <c r="C956" i="13"/>
  <c r="AM99" i="3"/>
  <c r="J951" i="13"/>
  <c r="V38" i="3"/>
  <c r="H126" i="2"/>
  <c r="K101" i="3"/>
  <c r="AK99" i="3"/>
  <c r="J63" i="10"/>
  <c r="H36" i="20"/>
  <c r="Z235" i="3"/>
  <c r="L22" i="8"/>
  <c r="C232" i="10"/>
  <c r="C228" i="10" s="1"/>
  <c r="D232" i="10"/>
  <c r="D228" i="10" s="1"/>
  <c r="D23" i="14"/>
  <c r="D6" i="14" s="1"/>
  <c r="D13" i="14" s="1"/>
  <c r="E89" i="10"/>
  <c r="E470" i="10" s="1"/>
  <c r="E475" i="10" s="1"/>
  <c r="E469" i="10"/>
  <c r="C29" i="10"/>
  <c r="F181" i="19"/>
  <c r="D82" i="14"/>
  <c r="C4" i="18"/>
  <c r="E47" i="2"/>
  <c r="E16" i="2"/>
  <c r="C43" i="22" s="1"/>
  <c r="E53" i="2"/>
  <c r="D53" i="3"/>
  <c r="E56" i="3" s="1"/>
  <c r="AC6" i="3"/>
  <c r="C72" i="13" s="1"/>
  <c r="AE5" i="3"/>
  <c r="D74" i="14"/>
  <c r="D76" i="14"/>
  <c r="D77" i="14" s="1"/>
  <c r="F260" i="10"/>
  <c r="F235" i="10"/>
  <c r="F232" i="10" s="1"/>
  <c r="F228" i="10" s="1"/>
  <c r="E35" i="8" s="1"/>
  <c r="F223" i="10"/>
  <c r="L372" i="3"/>
  <c r="L367" i="3"/>
  <c r="L373" i="3"/>
  <c r="F155" i="10"/>
  <c r="F35" i="14"/>
  <c r="AF35" i="14" s="1"/>
  <c r="G173" i="10"/>
  <c r="E179" i="10"/>
  <c r="E98" i="10" s="1"/>
  <c r="E99" i="10" s="1"/>
  <c r="F178" i="10"/>
  <c r="F488" i="10"/>
  <c r="F480" i="10" s="1"/>
  <c r="J272" i="13"/>
  <c r="J332" i="10"/>
  <c r="I332" i="10" s="1"/>
  <c r="L118" i="8"/>
  <c r="L104" i="8"/>
  <c r="M100" i="8"/>
  <c r="G326" i="3"/>
  <c r="G316" i="3" s="1"/>
  <c r="G321" i="3" s="1"/>
  <c r="G296" i="19"/>
  <c r="K207" i="2"/>
  <c r="L208" i="2"/>
  <c r="L201" i="2"/>
  <c r="K200" i="2"/>
  <c r="E26" i="5"/>
  <c r="E27" i="5"/>
  <c r="M592" i="13"/>
  <c r="W592" i="13"/>
  <c r="W630" i="13"/>
  <c r="M630" i="13"/>
  <c r="L186" i="2"/>
  <c r="K185" i="2"/>
  <c r="K135" i="2"/>
  <c r="B6" i="18"/>
  <c r="C88" i="14"/>
  <c r="D63" i="2"/>
  <c r="C89" i="14" s="1"/>
  <c r="D124" i="2"/>
  <c r="D123" i="2" s="1"/>
  <c r="D122" i="2" s="1"/>
  <c r="D168" i="2" s="1"/>
  <c r="D177" i="2" s="1"/>
  <c r="D30" i="5"/>
  <c r="H17" i="5"/>
  <c r="C5" i="15" s="1"/>
  <c r="C23" i="15"/>
  <c r="J68" i="2"/>
  <c r="I70" i="2"/>
  <c r="I86" i="2" s="1"/>
  <c r="I68" i="5" s="1"/>
  <c r="L153" i="2"/>
  <c r="M156" i="2"/>
  <c r="G24" i="5"/>
  <c r="G18" i="5"/>
  <c r="E14" i="18"/>
  <c r="C19" i="19"/>
  <c r="C21" i="19" s="1"/>
  <c r="M101" i="3"/>
  <c r="D19" i="19"/>
  <c r="D21" i="19" s="1"/>
  <c r="N101" i="3"/>
  <c r="AJ99" i="3"/>
  <c r="J101" i="3"/>
  <c r="P591" i="13"/>
  <c r="Z591" i="13"/>
  <c r="I269" i="13"/>
  <c r="L56" i="8"/>
  <c r="M266" i="19"/>
  <c r="M265" i="19"/>
  <c r="O421" i="3"/>
  <c r="O446" i="3" s="1"/>
  <c r="O445" i="3" s="1"/>
  <c r="J312" i="3"/>
  <c r="O402" i="3"/>
  <c r="O437" i="3"/>
  <c r="O312" i="3"/>
  <c r="O308" i="3"/>
  <c r="J495" i="10"/>
  <c r="J217" i="10"/>
  <c r="J234" i="10" s="1"/>
  <c r="C39" i="14"/>
  <c r="C8" i="14" s="1"/>
  <c r="D15" i="14"/>
  <c r="G464" i="10"/>
  <c r="F21" i="14"/>
  <c r="AF21" i="14" s="1"/>
  <c r="G78" i="10"/>
  <c r="G89" i="10" s="1"/>
  <c r="G22" i="14"/>
  <c r="AG22" i="14" s="1"/>
  <c r="I79" i="10"/>
  <c r="H463" i="10"/>
  <c r="H474" i="10" s="1"/>
  <c r="H80" i="10"/>
  <c r="G29" i="14"/>
  <c r="AG29" i="14" s="1"/>
  <c r="H131" i="10"/>
  <c r="E51" i="14"/>
  <c r="E68" i="14"/>
  <c r="E71" i="14" s="1"/>
  <c r="F514" i="10"/>
  <c r="F39" i="14"/>
  <c r="G37" i="14"/>
  <c r="AG37" i="14" s="1"/>
  <c r="H162" i="10"/>
  <c r="I252" i="10"/>
  <c r="J249" i="10"/>
  <c r="H28" i="14"/>
  <c r="AH28" i="14" s="1"/>
  <c r="J134" i="10"/>
  <c r="L244" i="10"/>
  <c r="M243" i="10"/>
  <c r="F401" i="10"/>
  <c r="X397" i="10"/>
  <c r="F40" i="10"/>
  <c r="D32" i="14"/>
  <c r="D7" i="14"/>
  <c r="D14" i="14" s="1"/>
  <c r="K267" i="10"/>
  <c r="J268" i="10"/>
  <c r="H36" i="14"/>
  <c r="AH36" i="14" s="1"/>
  <c r="J165" i="10"/>
  <c r="G259" i="10"/>
  <c r="G235" i="10" s="1"/>
  <c r="J105" i="14"/>
  <c r="J104" i="14" s="1"/>
  <c r="L341" i="10"/>
  <c r="K339" i="10"/>
  <c r="K340" i="10" s="1"/>
  <c r="L20" i="14"/>
  <c r="AL20" i="14" s="1"/>
  <c r="M465" i="10"/>
  <c r="N81" i="10"/>
  <c r="D106" i="10"/>
  <c r="D122" i="10"/>
  <c r="G276" i="10"/>
  <c r="G278" i="10" s="1"/>
  <c r="H273" i="10"/>
  <c r="H38" i="14"/>
  <c r="AH38" i="14" s="1"/>
  <c r="J163" i="10"/>
  <c r="I164" i="10"/>
  <c r="C23" i="14"/>
  <c r="D469" i="10"/>
  <c r="D89" i="10"/>
  <c r="D470" i="10" s="1"/>
  <c r="D475" i="10" s="1"/>
  <c r="D108" i="10"/>
  <c r="D29" i="10"/>
  <c r="C9" i="14" s="1"/>
  <c r="C14" i="14" s="1"/>
  <c r="D124" i="10"/>
  <c r="H30" i="14"/>
  <c r="AH30" i="14" s="1"/>
  <c r="I133" i="10"/>
  <c r="J132" i="10"/>
  <c r="K280" i="10"/>
  <c r="F497" i="10"/>
  <c r="F270" i="10"/>
  <c r="F271" i="10"/>
  <c r="D16" i="14"/>
  <c r="D10" i="14"/>
  <c r="L4" i="10"/>
  <c r="K327" i="10"/>
  <c r="H273" i="13" s="1"/>
  <c r="K368" i="10"/>
  <c r="J61" i="8" s="1"/>
  <c r="J62" i="8" s="1"/>
  <c r="K221" i="10"/>
  <c r="K210" i="10" s="1"/>
  <c r="E935" i="13"/>
  <c r="E937" i="13" s="1"/>
  <c r="C935" i="13"/>
  <c r="C937" i="13" s="1"/>
  <c r="D935" i="13"/>
  <c r="D937" i="13" s="1"/>
  <c r="F935" i="13"/>
  <c r="F937" i="13" s="1"/>
  <c r="AI99" i="3"/>
  <c r="K130" i="8"/>
  <c r="N481" i="10"/>
  <c r="I842" i="13"/>
  <c r="L74" i="8"/>
  <c r="K72" i="8"/>
  <c r="F64" i="14"/>
  <c r="AF64" i="14" s="1"/>
  <c r="M4" i="4"/>
  <c r="N312" i="3"/>
  <c r="K266" i="19"/>
  <c r="N426" i="3"/>
  <c r="K265" i="19" s="1"/>
  <c r="E278" i="19"/>
  <c r="F278" i="19"/>
  <c r="Q204" i="13"/>
  <c r="J67" i="13"/>
  <c r="J68" i="13" s="1"/>
  <c r="K65" i="13"/>
  <c r="R184" i="13"/>
  <c r="R193" i="13" s="1"/>
  <c r="O181" i="19"/>
  <c r="P296" i="19"/>
  <c r="N437" i="3"/>
  <c r="D181" i="19"/>
  <c r="E296" i="19"/>
  <c r="F182" i="19"/>
  <c r="G297" i="19"/>
  <c r="E403" i="3"/>
  <c r="E257" i="19"/>
  <c r="N421" i="3"/>
  <c r="N446" i="3" s="1"/>
  <c r="N445" i="3" s="1"/>
  <c r="M426" i="3"/>
  <c r="F266" i="19"/>
  <c r="N100" i="3"/>
  <c r="D20" i="19" s="1"/>
  <c r="K426" i="3"/>
  <c r="N326" i="3"/>
  <c r="N316" i="3" s="1"/>
  <c r="N403" i="3"/>
  <c r="I326" i="3"/>
  <c r="I316" i="3" s="1"/>
  <c r="H181" i="19"/>
  <c r="I403" i="3"/>
  <c r="K181" i="19"/>
  <c r="J326" i="3"/>
  <c r="J316" i="3" s="1"/>
  <c r="J403" i="3"/>
  <c r="N181" i="19"/>
  <c r="M326" i="3"/>
  <c r="M316" i="3" s="1"/>
  <c r="M403" i="3"/>
  <c r="D257" i="19"/>
  <c r="M446" i="3"/>
  <c r="K100" i="3"/>
  <c r="AF99" i="3"/>
  <c r="J100" i="3"/>
  <c r="AE99" i="3"/>
  <c r="J426" i="3"/>
  <c r="K421" i="3"/>
  <c r="D402" i="3"/>
  <c r="D296" i="19" s="1"/>
  <c r="I100" i="3"/>
  <c r="AD99" i="3"/>
  <c r="D258" i="19"/>
  <c r="M447" i="3"/>
  <c r="H266" i="19"/>
  <c r="M437" i="3"/>
  <c r="D266" i="19" s="1"/>
  <c r="D262" i="19"/>
  <c r="M312" i="3"/>
  <c r="G181" i="19"/>
  <c r="H326" i="3"/>
  <c r="H316" i="3" s="1"/>
  <c r="H403" i="3"/>
  <c r="M100" i="3"/>
  <c r="C20" i="19" s="1"/>
  <c r="AH99" i="3"/>
  <c r="I421" i="3"/>
  <c r="I446" i="3" s="1"/>
  <c r="I445" i="3" s="1"/>
  <c r="H426" i="3"/>
  <c r="H308" i="3" s="1"/>
  <c r="E258" i="19"/>
  <c r="K437" i="3"/>
  <c r="C266" i="19" s="1"/>
  <c r="G266" i="19"/>
  <c r="C262" i="19"/>
  <c r="K312" i="3"/>
  <c r="F402" i="3"/>
  <c r="F296" i="19" s="1"/>
  <c r="K326" i="3"/>
  <c r="K316" i="3" s="1"/>
  <c r="M181" i="19"/>
  <c r="K403" i="3"/>
  <c r="J421" i="3"/>
  <c r="J446" i="3" s="1"/>
  <c r="J445" i="3" s="1"/>
  <c r="I426" i="3"/>
  <c r="K227" i="19"/>
  <c r="D211" i="19"/>
  <c r="D221" i="19" s="1"/>
  <c r="K188" i="19"/>
  <c r="R211" i="19" s="1"/>
  <c r="K229" i="19"/>
  <c r="E284" i="19"/>
  <c r="O35" i="20" a="1"/>
  <c r="K54" i="10" l="1"/>
  <c r="G1523" i="13" s="1"/>
  <c r="G1529" i="13" s="1"/>
  <c r="AA247" i="3"/>
  <c r="Z247" i="3" s="1"/>
  <c r="N951" i="13" s="1"/>
  <c r="E1523" i="13"/>
  <c r="E1529" i="13" s="1"/>
  <c r="N630" i="13"/>
  <c r="O35" i="20"/>
  <c r="O37" i="20" s="1"/>
  <c r="N36" i="20"/>
  <c r="T36" i="20" s="1"/>
  <c r="U36" i="20"/>
  <c r="G56" i="14"/>
  <c r="AG34" i="14"/>
  <c r="I18" i="14"/>
  <c r="I26" i="14" s="1"/>
  <c r="J2" i="14"/>
  <c r="H34" i="14"/>
  <c r="AH26" i="14"/>
  <c r="L16" i="9"/>
  <c r="K9" i="9"/>
  <c r="I19" i="8"/>
  <c r="E50" i="2"/>
  <c r="C5" i="18" s="1"/>
  <c r="E48" i="2"/>
  <c r="E28" i="5"/>
  <c r="K21" i="5"/>
  <c r="H16" i="18"/>
  <c r="H19" i="8"/>
  <c r="AA10" i="3" s="1"/>
  <c r="J19" i="8"/>
  <c r="M1260" i="13"/>
  <c r="M1261" i="13" s="1"/>
  <c r="K195" i="2"/>
  <c r="J36" i="20" s="1"/>
  <c r="E1233" i="13"/>
  <c r="M1246" i="13"/>
  <c r="M1275" i="13"/>
  <c r="J55" i="10"/>
  <c r="I63" i="10"/>
  <c r="L112" i="10"/>
  <c r="M111" i="10"/>
  <c r="M41" i="10" s="1"/>
  <c r="X592" i="13"/>
  <c r="G7" i="5"/>
  <c r="M308" i="3"/>
  <c r="G22" i="5"/>
  <c r="G31" i="5"/>
  <c r="K63" i="10"/>
  <c r="K55" i="10"/>
  <c r="Z269" i="3"/>
  <c r="L195" i="2"/>
  <c r="K36" i="20" s="1"/>
  <c r="L54" i="10"/>
  <c r="M22" i="8"/>
  <c r="E289" i="10"/>
  <c r="E297" i="10" s="1"/>
  <c r="B301" i="10" s="1"/>
  <c r="D24" i="14"/>
  <c r="J333" i="10"/>
  <c r="G317" i="3"/>
  <c r="G322" i="3" s="1"/>
  <c r="G327" i="3" s="1"/>
  <c r="K436" i="3"/>
  <c r="C265" i="19" s="1"/>
  <c r="P436" i="3"/>
  <c r="L375" i="3"/>
  <c r="D86" i="14"/>
  <c r="E62" i="2"/>
  <c r="E56" i="2"/>
  <c r="G35" i="14"/>
  <c r="AG35" i="14" s="1"/>
  <c r="H173" i="10"/>
  <c r="E178" i="10"/>
  <c r="D51" i="14"/>
  <c r="G27" i="14"/>
  <c r="AG27" i="14" s="1"/>
  <c r="D49" i="14"/>
  <c r="E97" i="10"/>
  <c r="E100" i="10"/>
  <c r="E115" i="10"/>
  <c r="E117" i="10"/>
  <c r="E479" i="10"/>
  <c r="E104" i="10"/>
  <c r="D43" i="14"/>
  <c r="D46" i="14" s="1"/>
  <c r="E108" i="10"/>
  <c r="E109" i="10" s="1"/>
  <c r="E106" i="10"/>
  <c r="E478" i="10" s="1"/>
  <c r="G470" i="10"/>
  <c r="G475" i="10" s="1"/>
  <c r="C40" i="14"/>
  <c r="M118" i="8"/>
  <c r="M104" i="8"/>
  <c r="N100" i="8"/>
  <c r="N104" i="8" s="1"/>
  <c r="I17" i="5"/>
  <c r="D5" i="15" s="1"/>
  <c r="D23" i="15"/>
  <c r="M186" i="2"/>
  <c r="L185" i="2"/>
  <c r="L135" i="2"/>
  <c r="K68" i="2"/>
  <c r="J70" i="2"/>
  <c r="J86" i="2" s="1"/>
  <c r="J68" i="5" s="1"/>
  <c r="L200" i="2"/>
  <c r="M201" i="2"/>
  <c r="L207" i="2"/>
  <c r="M208" i="2"/>
  <c r="N156" i="2"/>
  <c r="M153" i="2"/>
  <c r="H24" i="5"/>
  <c r="C6" i="15" s="1"/>
  <c r="F14" i="18"/>
  <c r="H18" i="5"/>
  <c r="N409" i="13"/>
  <c r="O326" i="3"/>
  <c r="O316" i="3" s="1"/>
  <c r="O317" i="3" s="1"/>
  <c r="O322" i="3" s="1"/>
  <c r="O327" i="3" s="1"/>
  <c r="J269" i="13"/>
  <c r="M56" i="8"/>
  <c r="N56" i="8" s="1"/>
  <c r="G271" i="19"/>
  <c r="O436" i="3"/>
  <c r="F265" i="19"/>
  <c r="O403" i="3"/>
  <c r="F938" i="13"/>
  <c r="F940" i="13"/>
  <c r="D938" i="13"/>
  <c r="D940" i="13"/>
  <c r="C938" i="13"/>
  <c r="C940" i="13"/>
  <c r="E938" i="13"/>
  <c r="E940" i="13"/>
  <c r="K495" i="10"/>
  <c r="K217" i="10"/>
  <c r="K234" i="10" s="1"/>
  <c r="H22" i="14"/>
  <c r="AH22" i="14" s="1"/>
  <c r="I463" i="10"/>
  <c r="I474" i="10" s="1"/>
  <c r="I80" i="10"/>
  <c r="J79" i="10"/>
  <c r="F19" i="14"/>
  <c r="AF19" i="14" s="1"/>
  <c r="G462" i="10"/>
  <c r="F23" i="14"/>
  <c r="G469" i="10"/>
  <c r="H78" i="10"/>
  <c r="H464" i="10"/>
  <c r="G21" i="14"/>
  <c r="AG21" i="14" s="1"/>
  <c r="I333" i="10"/>
  <c r="H332" i="10"/>
  <c r="L280" i="10"/>
  <c r="C16" i="14"/>
  <c r="C10" i="14"/>
  <c r="L267" i="10"/>
  <c r="K268" i="10"/>
  <c r="F9" i="14"/>
  <c r="F518" i="10"/>
  <c r="M341" i="10"/>
  <c r="L339" i="10"/>
  <c r="L340" i="10" s="1"/>
  <c r="N243" i="10"/>
  <c r="M244" i="10"/>
  <c r="G176" i="10"/>
  <c r="D478" i="10"/>
  <c r="F8" i="14"/>
  <c r="AF39" i="14"/>
  <c r="F40" i="14"/>
  <c r="AF40" i="14" s="1"/>
  <c r="H276" i="10"/>
  <c r="I273" i="10"/>
  <c r="I28" i="14"/>
  <c r="AI28" i="14" s="1"/>
  <c r="K134" i="10"/>
  <c r="D11" i="18"/>
  <c r="F203" i="10"/>
  <c r="F503" i="10" s="1"/>
  <c r="I30" i="14"/>
  <c r="AI30" i="14" s="1"/>
  <c r="J133" i="10"/>
  <c r="K132" i="10"/>
  <c r="C6" i="14"/>
  <c r="C13" i="14" s="1"/>
  <c r="C24" i="14"/>
  <c r="G497" i="10"/>
  <c r="G270" i="10"/>
  <c r="G271" i="10"/>
  <c r="N465" i="10"/>
  <c r="M20" i="14"/>
  <c r="AM20" i="14" s="1"/>
  <c r="O81" i="10"/>
  <c r="G260" i="10"/>
  <c r="X398" i="10"/>
  <c r="F405" i="10"/>
  <c r="C15" i="14"/>
  <c r="F500" i="10"/>
  <c r="H29" i="14"/>
  <c r="AH29" i="14" s="1"/>
  <c r="I131" i="10"/>
  <c r="H37" i="14"/>
  <c r="AH37" i="14" s="1"/>
  <c r="I162" i="10"/>
  <c r="I36" i="14"/>
  <c r="AI36" i="14" s="1"/>
  <c r="K165" i="10"/>
  <c r="F507" i="10"/>
  <c r="F399" i="10"/>
  <c r="F404" i="10" s="1"/>
  <c r="F35" i="10"/>
  <c r="F67" i="10" s="1"/>
  <c r="F38" i="10"/>
  <c r="K249" i="10"/>
  <c r="J252" i="10"/>
  <c r="F283" i="10"/>
  <c r="I38" i="14"/>
  <c r="AI38" i="14" s="1"/>
  <c r="J164" i="10"/>
  <c r="K163" i="10"/>
  <c r="G39" i="14"/>
  <c r="K105" i="14"/>
  <c r="K104" i="14" s="1"/>
  <c r="M4" i="10"/>
  <c r="L368" i="10"/>
  <c r="K61" i="8" s="1"/>
  <c r="K62" i="8" s="1"/>
  <c r="L327" i="10"/>
  <c r="I273" i="13" s="1"/>
  <c r="L221" i="10"/>
  <c r="L210" i="10" s="1"/>
  <c r="L130" i="8"/>
  <c r="M117" i="8"/>
  <c r="N308" i="3"/>
  <c r="E271" i="19" s="1"/>
  <c r="O481" i="10"/>
  <c r="J842" i="13"/>
  <c r="M74" i="8"/>
  <c r="L72" i="8"/>
  <c r="N4" i="4"/>
  <c r="G278" i="19"/>
  <c r="N436" i="3"/>
  <c r="D261" i="19"/>
  <c r="H265" i="19"/>
  <c r="K67" i="13"/>
  <c r="K68" i="13" s="1"/>
  <c r="L65" i="13"/>
  <c r="H182" i="19"/>
  <c r="K297" i="19"/>
  <c r="N182" i="19"/>
  <c r="O297" i="19"/>
  <c r="O182" i="19"/>
  <c r="P297" i="19"/>
  <c r="K182" i="19"/>
  <c r="M297" i="19"/>
  <c r="M182" i="19"/>
  <c r="N297" i="19"/>
  <c r="G182" i="19"/>
  <c r="H297" i="19"/>
  <c r="D182" i="19"/>
  <c r="E297" i="19"/>
  <c r="C261" i="19"/>
  <c r="K308" i="3"/>
  <c r="M445" i="3"/>
  <c r="G265" i="19"/>
  <c r="M436" i="3"/>
  <c r="D265" i="19" s="1"/>
  <c r="N321" i="3"/>
  <c r="N317" i="3"/>
  <c r="N322" i="3" s="1"/>
  <c r="N327" i="3" s="1"/>
  <c r="C181" i="19"/>
  <c r="D403" i="3"/>
  <c r="H321" i="3"/>
  <c r="H317" i="3"/>
  <c r="H322" i="3" s="1"/>
  <c r="H327" i="3" s="1"/>
  <c r="C257" i="19"/>
  <c r="K446" i="3"/>
  <c r="K445" i="3" s="1"/>
  <c r="M321" i="3"/>
  <c r="M317" i="3"/>
  <c r="M322" i="3" s="1"/>
  <c r="M327" i="3" s="1"/>
  <c r="K321" i="3"/>
  <c r="K317" i="3"/>
  <c r="K322" i="3" s="1"/>
  <c r="K327" i="3" s="1"/>
  <c r="J308" i="3"/>
  <c r="J321" i="3"/>
  <c r="J317" i="3"/>
  <c r="J322" i="3" s="1"/>
  <c r="J327" i="3" s="1"/>
  <c r="E265" i="19"/>
  <c r="I308" i="3"/>
  <c r="E181" i="19"/>
  <c r="F403" i="3"/>
  <c r="E254" i="19"/>
  <c r="I321" i="3"/>
  <c r="I317" i="3"/>
  <c r="I322" i="3" s="1"/>
  <c r="I327" i="3" s="1"/>
  <c r="N35" i="20" a="1"/>
  <c r="Z253" i="3" l="1"/>
  <c r="E293" i="10"/>
  <c r="B300" i="10" s="1"/>
  <c r="K19" i="8"/>
  <c r="H1523" i="13"/>
  <c r="H1529" i="13" s="1"/>
  <c r="L21" i="5"/>
  <c r="J16" i="18" s="1"/>
  <c r="F8" i="15"/>
  <c r="Q36" i="20"/>
  <c r="W36" i="20" s="1"/>
  <c r="N35" i="20"/>
  <c r="N37" i="20" s="1"/>
  <c r="O38" i="20" s="1"/>
  <c r="P36" i="20"/>
  <c r="O42" i="20"/>
  <c r="I16" i="18"/>
  <c r="M16" i="9"/>
  <c r="L9" i="9"/>
  <c r="H56" i="14"/>
  <c r="AH34" i="14"/>
  <c r="J18" i="14"/>
  <c r="J26" i="14" s="1"/>
  <c r="K2" i="14"/>
  <c r="I34" i="14"/>
  <c r="AI26" i="14"/>
  <c r="M112" i="10"/>
  <c r="N111" i="10"/>
  <c r="N41" i="10" s="1"/>
  <c r="N4" i="10"/>
  <c r="H22" i="5"/>
  <c r="C9" i="15" s="1"/>
  <c r="L63" i="10"/>
  <c r="L55" i="10"/>
  <c r="M195" i="2"/>
  <c r="L36" i="20" s="1"/>
  <c r="M54" i="10"/>
  <c r="I1523" i="13" s="1"/>
  <c r="I1529" i="13" s="1"/>
  <c r="N22" i="8"/>
  <c r="F393" i="10"/>
  <c r="F57" i="10"/>
  <c r="F58" i="10" s="1"/>
  <c r="D52" i="14"/>
  <c r="E107" i="10"/>
  <c r="E30" i="5"/>
  <c r="C3" i="22" s="1"/>
  <c r="E80" i="2"/>
  <c r="E124" i="2"/>
  <c r="E123" i="2" s="1"/>
  <c r="E122" i="2" s="1"/>
  <c r="E168" i="2" s="1"/>
  <c r="E177" i="2" s="1"/>
  <c r="E81" i="2"/>
  <c r="D88" i="14"/>
  <c r="E63" i="2"/>
  <c r="D89" i="14" s="1"/>
  <c r="C6" i="18"/>
  <c r="E38" i="5"/>
  <c r="E32" i="5"/>
  <c r="C19" i="22" s="1"/>
  <c r="F236" i="10"/>
  <c r="F284" i="10"/>
  <c r="H35" i="14"/>
  <c r="AH35" i="14" s="1"/>
  <c r="I173" i="10"/>
  <c r="I278" i="10" s="1"/>
  <c r="H27" i="14"/>
  <c r="AH27" i="14" s="1"/>
  <c r="E72" i="10"/>
  <c r="E118" i="10"/>
  <c r="E124" i="10"/>
  <c r="E125" i="10" s="1"/>
  <c r="D85" i="8"/>
  <c r="E191" i="2"/>
  <c r="D10" i="8"/>
  <c r="D139" i="14"/>
  <c r="D137" i="14"/>
  <c r="D227" i="13"/>
  <c r="E15" i="21"/>
  <c r="F96" i="13"/>
  <c r="E32" i="21"/>
  <c r="E114" i="10"/>
  <c r="E116" i="10"/>
  <c r="E122" i="10"/>
  <c r="E123" i="10" s="1"/>
  <c r="E10" i="8"/>
  <c r="F479" i="10"/>
  <c r="F117" i="10"/>
  <c r="E43" i="14"/>
  <c r="F104" i="10"/>
  <c r="F97" i="10"/>
  <c r="F115" i="10"/>
  <c r="E49" i="14"/>
  <c r="E52" i="14" s="1"/>
  <c r="F100" i="10"/>
  <c r="F106" i="10"/>
  <c r="F15" i="14"/>
  <c r="N118" i="8"/>
  <c r="O156" i="2"/>
  <c r="O153" i="2" s="1"/>
  <c r="N153" i="2"/>
  <c r="M21" i="5"/>
  <c r="N186" i="2"/>
  <c r="M185" i="2"/>
  <c r="M135" i="2"/>
  <c r="J17" i="5"/>
  <c r="E5" i="15" s="1"/>
  <c r="E23" i="15"/>
  <c r="L68" i="2"/>
  <c r="K70" i="2"/>
  <c r="K86" i="2" s="1"/>
  <c r="K68" i="5" s="1"/>
  <c r="N208" i="2"/>
  <c r="M207" i="2"/>
  <c r="M200" i="2"/>
  <c r="N201" i="2"/>
  <c r="I24" i="5"/>
  <c r="D6" i="15" s="1"/>
  <c r="G14" i="18"/>
  <c r="I18" i="5"/>
  <c r="O321" i="3"/>
  <c r="G92" i="10"/>
  <c r="G136" i="10"/>
  <c r="G149" i="10" s="1"/>
  <c r="H271" i="19"/>
  <c r="L495" i="10"/>
  <c r="L217" i="10"/>
  <c r="L234" i="10" s="1"/>
  <c r="F24" i="14"/>
  <c r="AF24" i="14" s="1"/>
  <c r="AF23" i="14"/>
  <c r="F6" i="14"/>
  <c r="F13" i="14" s="1"/>
  <c r="G19" i="14"/>
  <c r="AG19" i="14" s="1"/>
  <c r="H462" i="10"/>
  <c r="I22" i="14"/>
  <c r="AI22" i="14" s="1"/>
  <c r="J463" i="10"/>
  <c r="J474" i="10" s="1"/>
  <c r="K79" i="10"/>
  <c r="J80" i="10"/>
  <c r="H21" i="14"/>
  <c r="AH21" i="14" s="1"/>
  <c r="I464" i="10"/>
  <c r="I78" i="10"/>
  <c r="I89" i="10" s="1"/>
  <c r="K20" i="15" s="1"/>
  <c r="J38" i="14"/>
  <c r="AJ38" i="14" s="1"/>
  <c r="L163" i="10"/>
  <c r="K164" i="10"/>
  <c r="L249" i="10"/>
  <c r="K252" i="10"/>
  <c r="J36" i="14"/>
  <c r="AJ36" i="14" s="1"/>
  <c r="L165" i="10"/>
  <c r="J30" i="14"/>
  <c r="AJ30" i="14" s="1"/>
  <c r="K133" i="10"/>
  <c r="L132" i="10"/>
  <c r="I276" i="10"/>
  <c r="J273" i="10"/>
  <c r="N341" i="10"/>
  <c r="M339" i="10"/>
  <c r="M340" i="10" s="1"/>
  <c r="H176" i="10"/>
  <c r="I37" i="14"/>
  <c r="AI37" i="14" s="1"/>
  <c r="J162" i="10"/>
  <c r="I29" i="14"/>
  <c r="AI29" i="14" s="1"/>
  <c r="J131" i="10"/>
  <c r="J28" i="14"/>
  <c r="AJ28" i="14" s="1"/>
  <c r="L134" i="10"/>
  <c r="F499" i="10"/>
  <c r="F206" i="10"/>
  <c r="H39" i="14"/>
  <c r="G283" i="10"/>
  <c r="F174" i="2"/>
  <c r="M267" i="10"/>
  <c r="L268" i="10"/>
  <c r="F5" i="17"/>
  <c r="F7" i="17"/>
  <c r="F36" i="10"/>
  <c r="F394" i="10"/>
  <c r="O243" i="10"/>
  <c r="O244" i="10" s="1"/>
  <c r="N244" i="10"/>
  <c r="N20" i="14"/>
  <c r="AN20" i="14" s="1"/>
  <c r="O465" i="10"/>
  <c r="O78" i="10"/>
  <c r="O89" i="10" s="1"/>
  <c r="O470" i="10" s="1"/>
  <c r="O475" i="10" s="1"/>
  <c r="G83" i="10"/>
  <c r="G9" i="10"/>
  <c r="F3" i="14"/>
  <c r="AF3" i="14" s="1"/>
  <c r="F521" i="10"/>
  <c r="F527" i="10" s="1"/>
  <c r="F524" i="10"/>
  <c r="F523" i="10"/>
  <c r="F522" i="10"/>
  <c r="H333" i="10"/>
  <c r="G332" i="10"/>
  <c r="G8" i="14"/>
  <c r="AG39" i="14"/>
  <c r="G40" i="14"/>
  <c r="AG40" i="14" s="1"/>
  <c r="E11" i="18"/>
  <c r="Q340" i="3"/>
  <c r="C843" i="13"/>
  <c r="E5" i="8"/>
  <c r="E34" i="8"/>
  <c r="E36" i="8" s="1"/>
  <c r="F16" i="14"/>
  <c r="M280" i="10"/>
  <c r="L105" i="14"/>
  <c r="L104" i="14" s="1"/>
  <c r="M221" i="10"/>
  <c r="M210" i="10" s="1"/>
  <c r="M105" i="14" s="1"/>
  <c r="M104" i="14" s="1"/>
  <c r="M368" i="10"/>
  <c r="L61" i="8" s="1"/>
  <c r="L62" i="8" s="1"/>
  <c r="M327" i="10"/>
  <c r="J273" i="13" s="1"/>
  <c r="M130" i="8"/>
  <c r="N117" i="8"/>
  <c r="N130" i="8" s="1"/>
  <c r="O469" i="10"/>
  <c r="N23" i="14"/>
  <c r="F286" i="19"/>
  <c r="K238" i="19"/>
  <c r="K842" i="13"/>
  <c r="N74" i="8"/>
  <c r="M72" i="8"/>
  <c r="O4" i="4"/>
  <c r="H278" i="19"/>
  <c r="L67" i="13"/>
  <c r="L68" i="13" s="1"/>
  <c r="M65" i="13"/>
  <c r="M67" i="13" s="1"/>
  <c r="C182" i="19"/>
  <c r="D297" i="19"/>
  <c r="E182" i="19"/>
  <c r="F297" i="19"/>
  <c r="E253" i="19"/>
  <c r="F279" i="19"/>
  <c r="E252" i="19"/>
  <c r="P35" i="20" a="1"/>
  <c r="Q35" i="20" a="1"/>
  <c r="R36" i="20" l="1"/>
  <c r="X36" i="20" s="1"/>
  <c r="Q35" i="20"/>
  <c r="Q37" i="20" s="1"/>
  <c r="P35" i="20"/>
  <c r="P37" i="20" s="1"/>
  <c r="P38" i="20" s="1"/>
  <c r="V36" i="20"/>
  <c r="N42" i="20"/>
  <c r="O11" i="20"/>
  <c r="O43" i="20"/>
  <c r="I56" i="14"/>
  <c r="AI34" i="14"/>
  <c r="K18" i="14"/>
  <c r="K26" i="14" s="1"/>
  <c r="L2" i="14"/>
  <c r="J34" i="14"/>
  <c r="AJ26" i="14"/>
  <c r="N16" i="9"/>
  <c r="N9" i="9" s="1"/>
  <c r="M9" i="9"/>
  <c r="N112" i="10"/>
  <c r="O111" i="10"/>
  <c r="O41" i="10" s="1"/>
  <c r="O4" i="10"/>
  <c r="O368" i="10" s="1"/>
  <c r="N61" i="8" s="1"/>
  <c r="I22" i="5"/>
  <c r="D9" i="15" s="1"/>
  <c r="L19" i="8"/>
  <c r="M63" i="10"/>
  <c r="M55" i="10"/>
  <c r="N195" i="2"/>
  <c r="N54" i="10"/>
  <c r="I266" i="10"/>
  <c r="I497" i="10" s="1"/>
  <c r="I35" i="14"/>
  <c r="AI35" i="14" s="1"/>
  <c r="J173" i="10"/>
  <c r="J278" i="10" s="1"/>
  <c r="I27" i="14"/>
  <c r="AI27" i="14" s="1"/>
  <c r="I470" i="10"/>
  <c r="I475" i="10" s="1"/>
  <c r="G489" i="10"/>
  <c r="G488" i="10"/>
  <c r="E70" i="10"/>
  <c r="E68" i="10"/>
  <c r="E481" i="10"/>
  <c r="F478" i="10"/>
  <c r="F107" i="10"/>
  <c r="F72" i="10"/>
  <c r="F118" i="10"/>
  <c r="E182" i="2"/>
  <c r="E181" i="2" s="1"/>
  <c r="E19" i="2"/>
  <c r="C35" i="22" s="1"/>
  <c r="F481" i="10"/>
  <c r="C727" i="13"/>
  <c r="L218" i="3"/>
  <c r="E85" i="8"/>
  <c r="F139" i="14"/>
  <c r="G139" i="14" s="1"/>
  <c r="H139" i="14" s="1"/>
  <c r="I139" i="14" s="1"/>
  <c r="J139" i="14" s="1"/>
  <c r="K139" i="14" s="1"/>
  <c r="L139" i="14" s="1"/>
  <c r="M139" i="14" s="1"/>
  <c r="N139" i="14" s="1"/>
  <c r="O139" i="14" s="1"/>
  <c r="C725" i="13"/>
  <c r="E139" i="14"/>
  <c r="F32" i="21"/>
  <c r="E137" i="14"/>
  <c r="F15" i="21"/>
  <c r="F137" i="14"/>
  <c r="G137" i="14" s="1"/>
  <c r="H137" i="14" s="1"/>
  <c r="I137" i="14" s="1"/>
  <c r="J137" i="14" s="1"/>
  <c r="K137" i="14" s="1"/>
  <c r="L137" i="14" s="1"/>
  <c r="M137" i="14" s="1"/>
  <c r="N137" i="14" s="1"/>
  <c r="O137" i="14" s="1"/>
  <c r="F191" i="2"/>
  <c r="F114" i="10"/>
  <c r="F116" i="10"/>
  <c r="F122" i="10"/>
  <c r="F123" i="10" s="1"/>
  <c r="H92" i="10"/>
  <c r="O201" i="2"/>
  <c r="O200" i="2" s="1"/>
  <c r="N200" i="2"/>
  <c r="J24" i="5"/>
  <c r="E6" i="15" s="1"/>
  <c r="H14" i="18"/>
  <c r="J18" i="5"/>
  <c r="K17" i="5"/>
  <c r="F5" i="15" s="1"/>
  <c r="F23" i="15"/>
  <c r="O208" i="2"/>
  <c r="O207" i="2" s="1"/>
  <c r="N207" i="2"/>
  <c r="M68" i="2"/>
  <c r="L70" i="2"/>
  <c r="N21" i="5"/>
  <c r="K16" i="18"/>
  <c r="O186" i="2"/>
  <c r="N185" i="2"/>
  <c r="N135" i="2"/>
  <c r="G360" i="10"/>
  <c r="F60" i="8" s="1"/>
  <c r="F59" i="8" s="1"/>
  <c r="F70" i="14" s="1"/>
  <c r="AF70" i="14" s="1"/>
  <c r="G467" i="10"/>
  <c r="F10" i="14"/>
  <c r="G325" i="10"/>
  <c r="G328" i="10" s="1"/>
  <c r="G347" i="10"/>
  <c r="F55" i="8" s="1"/>
  <c r="F54" i="8" s="1"/>
  <c r="E8" i="18"/>
  <c r="G167" i="10"/>
  <c r="K271" i="19"/>
  <c r="M495" i="10"/>
  <c r="M217" i="10"/>
  <c r="M234" i="10" s="1"/>
  <c r="H19" i="14"/>
  <c r="AH19" i="14" s="1"/>
  <c r="I462" i="10"/>
  <c r="H23" i="14"/>
  <c r="I469" i="10"/>
  <c r="J78" i="10"/>
  <c r="J89" i="10" s="1"/>
  <c r="L20" i="15" s="1"/>
  <c r="I21" i="14"/>
  <c r="AI21" i="14" s="1"/>
  <c r="J464" i="10"/>
  <c r="K80" i="10"/>
  <c r="L79" i="10"/>
  <c r="J22" i="14"/>
  <c r="AJ22" i="14" s="1"/>
  <c r="K463" i="10"/>
  <c r="K474" i="10" s="1"/>
  <c r="K36" i="14"/>
  <c r="AK36" i="14" s="1"/>
  <c r="M165" i="10"/>
  <c r="N19" i="14"/>
  <c r="AN19" i="14" s="1"/>
  <c r="O462" i="10"/>
  <c r="G284" i="10"/>
  <c r="N267" i="10"/>
  <c r="M268" i="10"/>
  <c r="K28" i="14"/>
  <c r="AK28" i="14" s="1"/>
  <c r="M134" i="10"/>
  <c r="K30" i="14"/>
  <c r="AK30" i="14" s="1"/>
  <c r="M132" i="10"/>
  <c r="L133" i="10"/>
  <c r="M249" i="10"/>
  <c r="L252" i="10"/>
  <c r="N280" i="10"/>
  <c r="I39" i="14"/>
  <c r="F332" i="10"/>
  <c r="F333" i="10" s="1"/>
  <c r="F334" i="10" s="1"/>
  <c r="G333" i="10"/>
  <c r="I176" i="10"/>
  <c r="O341" i="10"/>
  <c r="O339" i="10" s="1"/>
  <c r="O340" i="10" s="1"/>
  <c r="N339" i="10"/>
  <c r="N340" i="10" s="1"/>
  <c r="J29" i="14"/>
  <c r="AJ29" i="14" s="1"/>
  <c r="K131" i="10"/>
  <c r="J37" i="14"/>
  <c r="AJ37" i="14" s="1"/>
  <c r="K162" i="10"/>
  <c r="AH39" i="14"/>
  <c r="H40" i="14"/>
  <c r="AH40" i="14" s="1"/>
  <c r="H8" i="14"/>
  <c r="J276" i="10"/>
  <c r="K273" i="10"/>
  <c r="K38" i="14"/>
  <c r="AK38" i="14" s="1"/>
  <c r="L164" i="10"/>
  <c r="M163" i="10"/>
  <c r="F528" i="10"/>
  <c r="D2" i="18"/>
  <c r="D9" i="18" s="1"/>
  <c r="E73" i="14"/>
  <c r="D62" i="13"/>
  <c r="D63" i="13" s="1"/>
  <c r="D3" i="18"/>
  <c r="F27" i="2"/>
  <c r="L6" i="3"/>
  <c r="L84" i="3" s="1"/>
  <c r="E86" i="8"/>
  <c r="F35" i="2"/>
  <c r="F15" i="2"/>
  <c r="F58" i="2"/>
  <c r="F23" i="2"/>
  <c r="F9" i="2"/>
  <c r="C864" i="13"/>
  <c r="F26" i="5"/>
  <c r="N368" i="10"/>
  <c r="M61" i="8" s="1"/>
  <c r="M62" i="8" s="1"/>
  <c r="N327" i="10"/>
  <c r="N221" i="10"/>
  <c r="N210" i="10" s="1"/>
  <c r="AN23" i="14"/>
  <c r="N24" i="14"/>
  <c r="AN24" i="14" s="1"/>
  <c r="N6" i="14"/>
  <c r="M68" i="13"/>
  <c r="N72" i="8"/>
  <c r="L842" i="13"/>
  <c r="O92" i="10"/>
  <c r="K278" i="19"/>
  <c r="F273" i="19"/>
  <c r="F272" i="19"/>
  <c r="F280" i="19"/>
  <c r="F256" i="19"/>
  <c r="R35" i="20" a="1"/>
  <c r="O54" i="10" l="1"/>
  <c r="R35" i="20"/>
  <c r="R37" i="20" s="1"/>
  <c r="R43" i="20"/>
  <c r="R11" i="20"/>
  <c r="Q42" i="20"/>
  <c r="Q38" i="20"/>
  <c r="Q11" i="20"/>
  <c r="Q43" i="20"/>
  <c r="P42" i="20"/>
  <c r="P11" i="20"/>
  <c r="P43" i="20"/>
  <c r="O221" i="10"/>
  <c r="O210" i="10" s="1"/>
  <c r="O217" i="10" s="1"/>
  <c r="O234" i="10" s="1"/>
  <c r="O195" i="2"/>
  <c r="O327" i="10"/>
  <c r="J56" i="14"/>
  <c r="AJ34" i="14"/>
  <c r="M2" i="14"/>
  <c r="L18" i="14"/>
  <c r="L26" i="14" s="1"/>
  <c r="K34" i="14"/>
  <c r="AK26" i="14"/>
  <c r="I271" i="10"/>
  <c r="I270" i="10"/>
  <c r="O112" i="10"/>
  <c r="K951" i="13"/>
  <c r="W253" i="3"/>
  <c r="J22" i="5"/>
  <c r="E9" i="15" s="1"/>
  <c r="Y235" i="3"/>
  <c r="Z275" i="3"/>
  <c r="O63" i="10"/>
  <c r="O55" i="10"/>
  <c r="M19" i="8"/>
  <c r="N19" i="8"/>
  <c r="N55" i="10"/>
  <c r="N63" i="10"/>
  <c r="J266" i="10"/>
  <c r="J270" i="10" s="1"/>
  <c r="G490" i="10"/>
  <c r="J35" i="14"/>
  <c r="AJ35" i="14" s="1"/>
  <c r="K173" i="10"/>
  <c r="K278" i="10" s="1"/>
  <c r="G148" i="10"/>
  <c r="G152" i="10"/>
  <c r="G151" i="10" s="1"/>
  <c r="G145" i="10"/>
  <c r="J27" i="14"/>
  <c r="AJ27" i="14" s="1"/>
  <c r="J470" i="10"/>
  <c r="J475" i="10" s="1"/>
  <c r="F68" i="10"/>
  <c r="F182" i="2"/>
  <c r="F19" i="2"/>
  <c r="D35" i="22" s="1"/>
  <c r="D267" i="13"/>
  <c r="D268" i="13" s="1"/>
  <c r="M217" i="3"/>
  <c r="M65" i="3"/>
  <c r="F80" i="16" s="1"/>
  <c r="M219" i="3"/>
  <c r="H72" i="19"/>
  <c r="D286" i="19" s="1"/>
  <c r="L219" i="3"/>
  <c r="M61" i="3"/>
  <c r="E4" i="17"/>
  <c r="E231" i="2"/>
  <c r="E27" i="17"/>
  <c r="E13" i="17"/>
  <c r="C13" i="18"/>
  <c r="E11" i="17"/>
  <c r="E25" i="17"/>
  <c r="E29" i="5"/>
  <c r="C11" i="22" s="1"/>
  <c r="E34" i="5"/>
  <c r="C27" i="22" s="1"/>
  <c r="C6" i="17"/>
  <c r="F70" i="10"/>
  <c r="D271" i="13"/>
  <c r="F49" i="8"/>
  <c r="G516" i="10"/>
  <c r="K24" i="5"/>
  <c r="F6" i="15" s="1"/>
  <c r="I14" i="18"/>
  <c r="K18" i="5"/>
  <c r="O21" i="5"/>
  <c r="M16" i="18" s="1"/>
  <c r="L16" i="18"/>
  <c r="L17" i="5"/>
  <c r="M70" i="2"/>
  <c r="N68" i="2"/>
  <c r="O185" i="2"/>
  <c r="O135" i="2"/>
  <c r="G8" i="21"/>
  <c r="M271" i="19"/>
  <c r="N495" i="10"/>
  <c r="N217" i="10"/>
  <c r="N234" i="10" s="1"/>
  <c r="N105" i="14"/>
  <c r="N104" i="14" s="1"/>
  <c r="L80" i="10"/>
  <c r="L463" i="10"/>
  <c r="L474" i="10" s="1"/>
  <c r="K22" i="14"/>
  <c r="AK22" i="14" s="1"/>
  <c r="M79" i="10"/>
  <c r="J21" i="14"/>
  <c r="AJ21" i="14" s="1"/>
  <c r="K464" i="10"/>
  <c r="K78" i="10"/>
  <c r="K89" i="10" s="1"/>
  <c r="I92" i="10"/>
  <c r="H24" i="14"/>
  <c r="AH24" i="14" s="1"/>
  <c r="H6" i="14"/>
  <c r="AH23" i="14"/>
  <c r="I19" i="14"/>
  <c r="AI19" i="14" s="1"/>
  <c r="J462" i="10"/>
  <c r="I23" i="14"/>
  <c r="J469" i="10"/>
  <c r="J92" i="10"/>
  <c r="F24" i="2"/>
  <c r="E76" i="14"/>
  <c r="E74" i="14"/>
  <c r="L38" i="14"/>
  <c r="AL38" i="14" s="1"/>
  <c r="M164" i="10"/>
  <c r="N163" i="10"/>
  <c r="L28" i="14"/>
  <c r="AL28" i="14" s="1"/>
  <c r="N134" i="10"/>
  <c r="F36" i="2"/>
  <c r="N268" i="10"/>
  <c r="O267" i="10"/>
  <c r="K276" i="10"/>
  <c r="L273" i="10"/>
  <c r="F69" i="14"/>
  <c r="AF69" i="14" s="1"/>
  <c r="G515" i="10"/>
  <c r="E82" i="14"/>
  <c r="AE82" i="14" s="1"/>
  <c r="D4" i="18"/>
  <c r="F16" i="2"/>
  <c r="L59" i="3"/>
  <c r="F53" i="2"/>
  <c r="F47" i="2"/>
  <c r="F27" i="5"/>
  <c r="L78" i="3"/>
  <c r="L81" i="3"/>
  <c r="L69" i="3"/>
  <c r="L72" i="3"/>
  <c r="N249" i="10"/>
  <c r="M252" i="10"/>
  <c r="F28" i="2"/>
  <c r="J39" i="14"/>
  <c r="AI39" i="14"/>
  <c r="I40" i="14"/>
  <c r="AI40" i="14" s="1"/>
  <c r="I8" i="14"/>
  <c r="K29" i="14"/>
  <c r="AK29" i="14" s="1"/>
  <c r="L131" i="10"/>
  <c r="K37" i="14"/>
  <c r="AK37" i="14" s="1"/>
  <c r="L162" i="10"/>
  <c r="J176" i="10"/>
  <c r="O280" i="10"/>
  <c r="L30" i="14"/>
  <c r="AL30" i="14" s="1"/>
  <c r="M133" i="10"/>
  <c r="N132" i="10"/>
  <c r="G329" i="10"/>
  <c r="F50" i="8" s="1"/>
  <c r="F48" i="8" s="1"/>
  <c r="F64" i="8" s="1"/>
  <c r="G334" i="10"/>
  <c r="L36" i="14"/>
  <c r="AL36" i="14" s="1"/>
  <c r="N165" i="10"/>
  <c r="N62" i="8"/>
  <c r="M278" i="19"/>
  <c r="F275" i="19"/>
  <c r="F257" i="19"/>
  <c r="F258" i="19"/>
  <c r="F282" i="19"/>
  <c r="G157" i="10" l="1"/>
  <c r="G188" i="10" s="1"/>
  <c r="C1565" i="13"/>
  <c r="R42" i="20"/>
  <c r="R38" i="20"/>
  <c r="G182" i="10"/>
  <c r="G102" i="10" s="1"/>
  <c r="G189" i="10"/>
  <c r="K470" i="10"/>
  <c r="K475" i="10" s="1"/>
  <c r="M20" i="15"/>
  <c r="E40" i="16"/>
  <c r="O105" i="14"/>
  <c r="O104" i="14" s="1"/>
  <c r="O495" i="10"/>
  <c r="Y247" i="3"/>
  <c r="Y10" i="3" s="1"/>
  <c r="Z10" i="3" s="1"/>
  <c r="Y241" i="3"/>
  <c r="I283" i="10"/>
  <c r="I284" i="10" s="1"/>
  <c r="K56" i="14"/>
  <c r="AK34" i="14"/>
  <c r="L34" i="14"/>
  <c r="AL26" i="14"/>
  <c r="M18" i="14"/>
  <c r="M26" i="14" s="1"/>
  <c r="N2" i="14"/>
  <c r="N18" i="14" s="1"/>
  <c r="N26" i="14" s="1"/>
  <c r="F50" i="2"/>
  <c r="D5" i="18" s="1"/>
  <c r="F48" i="2"/>
  <c r="F28" i="5"/>
  <c r="K266" i="10"/>
  <c r="K497" i="10" s="1"/>
  <c r="Z428" i="3"/>
  <c r="N1301" i="13"/>
  <c r="L951" i="13"/>
  <c r="K22" i="5"/>
  <c r="F9" i="15" s="1"/>
  <c r="Z241" i="3"/>
  <c r="J497" i="10"/>
  <c r="N278" i="19"/>
  <c r="N271" i="19"/>
  <c r="J271" i="10"/>
  <c r="J283" i="10" s="1"/>
  <c r="G4" i="21"/>
  <c r="G5" i="21" s="1"/>
  <c r="K35" i="14"/>
  <c r="AK35" i="14" s="1"/>
  <c r="L173" i="10"/>
  <c r="L278" i="10" s="1"/>
  <c r="G179" i="10"/>
  <c r="G98" i="10" s="1"/>
  <c r="G155" i="10"/>
  <c r="F181" i="2"/>
  <c r="D13" i="18" s="1"/>
  <c r="K27" i="14"/>
  <c r="AK27" i="14" s="1"/>
  <c r="G55" i="19"/>
  <c r="G238" i="19"/>
  <c r="C652" i="13"/>
  <c r="G12" i="21"/>
  <c r="L24" i="5"/>
  <c r="J14" i="18"/>
  <c r="L18" i="5"/>
  <c r="N70" i="2"/>
  <c r="O68" i="2"/>
  <c r="O70" i="2" s="1"/>
  <c r="M17" i="5"/>
  <c r="M83" i="2"/>
  <c r="J19" i="14"/>
  <c r="AJ19" i="14" s="1"/>
  <c r="K462" i="10"/>
  <c r="N79" i="10"/>
  <c r="M80" i="10"/>
  <c r="L22" i="14"/>
  <c r="AL22" i="14" s="1"/>
  <c r="M463" i="10"/>
  <c r="M474" i="10" s="1"/>
  <c r="J23" i="14"/>
  <c r="K92" i="10"/>
  <c r="K469" i="10"/>
  <c r="AI23" i="14"/>
  <c r="I6" i="14"/>
  <c r="I24" i="14"/>
  <c r="AI24" i="14" s="1"/>
  <c r="K21" i="14"/>
  <c r="AK21" i="14" s="1"/>
  <c r="L464" i="10"/>
  <c r="L78" i="10"/>
  <c r="L89" i="10" s="1"/>
  <c r="L470" i="10" s="1"/>
  <c r="L475" i="10" s="1"/>
  <c r="E86" i="14"/>
  <c r="AE86" i="14" s="1"/>
  <c r="F62" i="2"/>
  <c r="F92" i="2" s="1"/>
  <c r="F93" i="2" s="1"/>
  <c r="F56" i="2"/>
  <c r="L90" i="3"/>
  <c r="L93" i="3" s="1"/>
  <c r="M36" i="14"/>
  <c r="AM36" i="14" s="1"/>
  <c r="O165" i="10"/>
  <c r="C868" i="13"/>
  <c r="D43" i="22"/>
  <c r="M38" i="14"/>
  <c r="AM38" i="14" s="1"/>
  <c r="N164" i="10"/>
  <c r="K176" i="10"/>
  <c r="L37" i="14"/>
  <c r="AL37" i="14" s="1"/>
  <c r="M162" i="10"/>
  <c r="J40" i="14"/>
  <c r="AJ40" i="14" s="1"/>
  <c r="J8" i="14"/>
  <c r="AJ39" i="14"/>
  <c r="O249" i="10"/>
  <c r="O252" i="10" s="1"/>
  <c r="N252" i="10"/>
  <c r="M28" i="14"/>
  <c r="AM28" i="14" s="1"/>
  <c r="O134" i="10"/>
  <c r="L29" i="14"/>
  <c r="AL29" i="14" s="1"/>
  <c r="M131" i="10"/>
  <c r="G189" i="2"/>
  <c r="O268" i="10"/>
  <c r="G514" i="10"/>
  <c r="F68" i="14"/>
  <c r="C612" i="13"/>
  <c r="M30" i="14"/>
  <c r="AM30" i="14" s="1"/>
  <c r="N133" i="10"/>
  <c r="K39" i="14"/>
  <c r="L276" i="10"/>
  <c r="M273" i="10"/>
  <c r="F70" i="8"/>
  <c r="E77" i="14"/>
  <c r="AE77" i="14" s="1"/>
  <c r="AE76" i="14"/>
  <c r="F284" i="19"/>
  <c r="F254" i="19"/>
  <c r="G103" i="10" l="1"/>
  <c r="C1541" i="13"/>
  <c r="C1553" i="13" s="1"/>
  <c r="C1554" i="13" s="1"/>
  <c r="C1550" i="13" s="1"/>
  <c r="C1569" i="13"/>
  <c r="C1577" i="13"/>
  <c r="C1578" i="13" s="1"/>
  <c r="C1574" i="13" s="1"/>
  <c r="G99" i="10"/>
  <c r="G115" i="10"/>
  <c r="G106" i="10"/>
  <c r="G478" i="10" s="1"/>
  <c r="G100" i="10"/>
  <c r="F49" i="14"/>
  <c r="AF49" i="14" s="1"/>
  <c r="G104" i="10"/>
  <c r="C1483" i="13"/>
  <c r="C1484" i="13" s="1"/>
  <c r="M951" i="13"/>
  <c r="Y253" i="3"/>
  <c r="K271" i="10"/>
  <c r="K270" i="10"/>
  <c r="AN26" i="14"/>
  <c r="N34" i="14"/>
  <c r="M34" i="14"/>
  <c r="AM26" i="14"/>
  <c r="AL34" i="14"/>
  <c r="L56" i="14"/>
  <c r="L22" i="5"/>
  <c r="D614" i="13"/>
  <c r="L266" i="10"/>
  <c r="L271" i="10" s="1"/>
  <c r="F25" i="17"/>
  <c r="G97" i="10"/>
  <c r="C1458" i="13" s="1"/>
  <c r="G117" i="10"/>
  <c r="G108" i="10"/>
  <c r="F43" i="14"/>
  <c r="AF43" i="14" s="1"/>
  <c r="G479" i="10"/>
  <c r="W441" i="3"/>
  <c r="G8" i="2"/>
  <c r="F27" i="17"/>
  <c r="F13" i="17"/>
  <c r="F4" i="17"/>
  <c r="F231" i="2"/>
  <c r="F29" i="5"/>
  <c r="F11" i="17"/>
  <c r="L35" i="14"/>
  <c r="AL35" i="14" s="1"/>
  <c r="M173" i="10"/>
  <c r="M278" i="10" s="1"/>
  <c r="G178" i="10"/>
  <c r="C1460" i="13" s="1"/>
  <c r="L27" i="14"/>
  <c r="AL27" i="14" s="1"/>
  <c r="F45" i="14"/>
  <c r="AF45" i="14" s="1"/>
  <c r="G481" i="10"/>
  <c r="Q224" i="3"/>
  <c r="G103" i="14"/>
  <c r="G102" i="14" s="1"/>
  <c r="G106" i="14" s="1"/>
  <c r="C614" i="13"/>
  <c r="M614" i="13" s="1"/>
  <c r="K14" i="18"/>
  <c r="M18" i="5"/>
  <c r="M24" i="5"/>
  <c r="O17" i="5"/>
  <c r="O83" i="2"/>
  <c r="N17" i="5"/>
  <c r="N83" i="2"/>
  <c r="F34" i="5"/>
  <c r="D27" i="22" s="1"/>
  <c r="F32" i="5"/>
  <c r="D19" i="22" s="1"/>
  <c r="W652" i="13"/>
  <c r="M652" i="13"/>
  <c r="M612" i="13"/>
  <c r="L469" i="10"/>
  <c r="K23" i="14"/>
  <c r="L92" i="10"/>
  <c r="AJ23" i="14"/>
  <c r="J24" i="14"/>
  <c r="AJ24" i="14" s="1"/>
  <c r="J6" i="14"/>
  <c r="M22" i="14"/>
  <c r="AM22" i="14" s="1"/>
  <c r="N463" i="10"/>
  <c r="N474" i="10" s="1"/>
  <c r="N80" i="10"/>
  <c r="L462" i="10"/>
  <c r="K19" i="14"/>
  <c r="AK19" i="14" s="1"/>
  <c r="L21" i="14"/>
  <c r="AL21" i="14" s="1"/>
  <c r="M464" i="10"/>
  <c r="M78" i="10"/>
  <c r="M89" i="10" s="1"/>
  <c r="M470" i="10" s="1"/>
  <c r="M475" i="10" s="1"/>
  <c r="F214" i="13"/>
  <c r="M276" i="10"/>
  <c r="N273" i="10"/>
  <c r="AF68" i="14"/>
  <c r="F71" i="14"/>
  <c r="AF71" i="14" s="1"/>
  <c r="N28" i="14"/>
  <c r="AN28" i="14" s="1"/>
  <c r="O131" i="10"/>
  <c r="H189" i="2"/>
  <c r="L176" i="10"/>
  <c r="M37" i="14"/>
  <c r="AM37" i="14" s="1"/>
  <c r="N162" i="10"/>
  <c r="J284" i="10"/>
  <c r="L39" i="14"/>
  <c r="K40" i="14"/>
  <c r="AK40" i="14" s="1"/>
  <c r="K8" i="14"/>
  <c r="AK39" i="14"/>
  <c r="F38" i="5"/>
  <c r="E88" i="14"/>
  <c r="AE88" i="14" s="1"/>
  <c r="D6" i="18"/>
  <c r="D6" i="17"/>
  <c r="F81" i="2"/>
  <c r="F63" i="2"/>
  <c r="E89" i="14" s="1"/>
  <c r="F80" i="2"/>
  <c r="L99" i="3"/>
  <c r="F124" i="2"/>
  <c r="F123" i="2" s="1"/>
  <c r="F122" i="2" s="1"/>
  <c r="F168" i="2" s="1"/>
  <c r="F30" i="5"/>
  <c r="D3" i="22" s="1"/>
  <c r="N36" i="14"/>
  <c r="AN36" i="14" s="1"/>
  <c r="O162" i="10"/>
  <c r="M29" i="14"/>
  <c r="AM29" i="14" s="1"/>
  <c r="N131" i="10"/>
  <c r="G279" i="19"/>
  <c r="G114" i="10" l="1"/>
  <c r="C1545" i="13"/>
  <c r="G107" i="10"/>
  <c r="G70" i="10"/>
  <c r="G122" i="10"/>
  <c r="G123" i="10" s="1"/>
  <c r="G116" i="10"/>
  <c r="K283" i="10"/>
  <c r="K284" i="10" s="1"/>
  <c r="L270" i="10"/>
  <c r="L283" i="10" s="1"/>
  <c r="L497" i="10"/>
  <c r="AM34" i="14"/>
  <c r="M56" i="14"/>
  <c r="N56" i="14"/>
  <c r="AN34" i="14"/>
  <c r="H194" i="2"/>
  <c r="V224" i="3"/>
  <c r="G70" i="8"/>
  <c r="H8" i="2" s="1"/>
  <c r="D652" i="13"/>
  <c r="X652" i="13" s="1"/>
  <c r="R30" i="3"/>
  <c r="R32" i="3" s="1"/>
  <c r="M75" i="19" s="1"/>
  <c r="R29" i="3"/>
  <c r="R31" i="3" s="1"/>
  <c r="R225" i="3"/>
  <c r="M22" i="5"/>
  <c r="Q25" i="3"/>
  <c r="G72" i="10"/>
  <c r="G124" i="10"/>
  <c r="G118" i="10"/>
  <c r="K28" i="19"/>
  <c r="G38" i="8"/>
  <c r="M266" i="10"/>
  <c r="M497" i="10" s="1"/>
  <c r="D11" i="22"/>
  <c r="N35" i="14"/>
  <c r="AN35" i="14" s="1"/>
  <c r="O173" i="10"/>
  <c r="O278" i="10" s="1"/>
  <c r="M35" i="14"/>
  <c r="AM35" i="14" s="1"/>
  <c r="N173" i="10"/>
  <c r="N278" i="10" s="1"/>
  <c r="M27" i="14"/>
  <c r="AM27" i="14" s="1"/>
  <c r="N27" i="14"/>
  <c r="AN27" i="14" s="1"/>
  <c r="H103" i="14"/>
  <c r="H102" i="14" s="1"/>
  <c r="W614" i="13"/>
  <c r="C626" i="13"/>
  <c r="M626" i="13" s="1"/>
  <c r="L14" i="18"/>
  <c r="N18" i="5"/>
  <c r="N24" i="5"/>
  <c r="O24" i="5"/>
  <c r="M14" i="18"/>
  <c r="O18" i="5"/>
  <c r="N614" i="13"/>
  <c r="X614" i="13"/>
  <c r="C588" i="13"/>
  <c r="L19" i="14"/>
  <c r="AL19" i="14" s="1"/>
  <c r="M462" i="10"/>
  <c r="M21" i="14"/>
  <c r="AM21" i="14" s="1"/>
  <c r="N464" i="10"/>
  <c r="N78" i="10"/>
  <c r="N89" i="10" s="1"/>
  <c r="N470" i="10" s="1"/>
  <c r="N475" i="10" s="1"/>
  <c r="AK23" i="14"/>
  <c r="K6" i="14"/>
  <c r="K24" i="14"/>
  <c r="AK24" i="14" s="1"/>
  <c r="M469" i="10"/>
  <c r="L23" i="14"/>
  <c r="M176" i="10"/>
  <c r="F51" i="14"/>
  <c r="AF51" i="14" s="1"/>
  <c r="F171" i="2"/>
  <c r="G169" i="2" s="1"/>
  <c r="L40" i="14"/>
  <c r="AL40" i="14" s="1"/>
  <c r="L8" i="14"/>
  <c r="AL39" i="14"/>
  <c r="N276" i="10"/>
  <c r="O273" i="10"/>
  <c r="O276" i="10" s="1"/>
  <c r="G40" i="10"/>
  <c r="M39" i="14"/>
  <c r="F50" i="14"/>
  <c r="F79" i="14"/>
  <c r="AF79" i="14" s="1"/>
  <c r="F69" i="8"/>
  <c r="G280" i="19"/>
  <c r="C35" i="20" l="1"/>
  <c r="J15" i="15"/>
  <c r="L26" i="19"/>
  <c r="O266" i="10"/>
  <c r="O270" i="10" s="1"/>
  <c r="T28" i="19"/>
  <c r="W30" i="3"/>
  <c r="W32" i="3" s="1"/>
  <c r="N266" i="10"/>
  <c r="N497" i="10" s="1"/>
  <c r="K9" i="19"/>
  <c r="K26" i="19" s="1"/>
  <c r="V246" i="3"/>
  <c r="G17" i="8"/>
  <c r="N652" i="13"/>
  <c r="G214" i="13"/>
  <c r="V26" i="3"/>
  <c r="U26" i="3" s="1"/>
  <c r="U30" i="3" s="1"/>
  <c r="U32" i="3" s="1"/>
  <c r="V16" i="3"/>
  <c r="O22" i="5"/>
  <c r="N22" i="5"/>
  <c r="M271" i="10"/>
  <c r="M270" i="10"/>
  <c r="Z442" i="3"/>
  <c r="Z441" i="3" s="1"/>
  <c r="Y441" i="3"/>
  <c r="G39" i="8"/>
  <c r="G64" i="14"/>
  <c r="AG64" i="14" s="1"/>
  <c r="G79" i="14"/>
  <c r="AG79" i="14" s="1"/>
  <c r="G69" i="8"/>
  <c r="D588" i="13"/>
  <c r="N588" i="13" s="1"/>
  <c r="D626" i="13"/>
  <c r="N626" i="13" s="1"/>
  <c r="C608" i="13"/>
  <c r="W608" i="13" s="1"/>
  <c r="C646" i="13"/>
  <c r="C590" i="13"/>
  <c r="M590" i="13" s="1"/>
  <c r="C628" i="13"/>
  <c r="D590" i="13"/>
  <c r="X590" i="13" s="1"/>
  <c r="D628" i="13"/>
  <c r="M588" i="13"/>
  <c r="F177" i="2"/>
  <c r="M92" i="10"/>
  <c r="L24" i="14"/>
  <c r="AL24" i="14" s="1"/>
  <c r="L6" i="14"/>
  <c r="AL23" i="14"/>
  <c r="N462" i="10"/>
  <c r="M19" i="14"/>
  <c r="AM19" i="14" s="1"/>
  <c r="M23" i="14"/>
  <c r="N469" i="10"/>
  <c r="N92" i="10"/>
  <c r="M40" i="14"/>
  <c r="AM40" i="14" s="1"/>
  <c r="M8" i="14"/>
  <c r="AM39" i="14"/>
  <c r="G138" i="14"/>
  <c r="D725" i="13"/>
  <c r="G136" i="14"/>
  <c r="G159" i="14"/>
  <c r="L284" i="10"/>
  <c r="F52" i="14"/>
  <c r="AF52" i="14" s="1"/>
  <c r="AF50" i="14"/>
  <c r="G13" i="2"/>
  <c r="G507" i="10"/>
  <c r="G38" i="10"/>
  <c r="G194" i="2"/>
  <c r="G35" i="10"/>
  <c r="V25" i="3"/>
  <c r="U25" i="3" s="1"/>
  <c r="U48" i="3" s="1"/>
  <c r="AP48" i="3" s="1"/>
  <c r="C1273" i="13"/>
  <c r="M1273" i="13" s="1"/>
  <c r="H13" i="2"/>
  <c r="N176" i="10"/>
  <c r="G282" i="19"/>
  <c r="F253" i="19"/>
  <c r="G272" i="19"/>
  <c r="F252" i="19"/>
  <c r="G57" i="10" l="1"/>
  <c r="G58" i="10" s="1"/>
  <c r="G67" i="10"/>
  <c r="G68" i="10" s="1"/>
  <c r="X22" i="3"/>
  <c r="L1419" i="13" s="1"/>
  <c r="K1454" i="13"/>
  <c r="K1455" i="13" s="1"/>
  <c r="O497" i="10"/>
  <c r="X12" i="3"/>
  <c r="Q26" i="19"/>
  <c r="N271" i="10"/>
  <c r="N270" i="10"/>
  <c r="O271" i="10"/>
  <c r="O283" i="10" s="1"/>
  <c r="M283" i="10"/>
  <c r="M284" i="10" s="1"/>
  <c r="T9" i="19"/>
  <c r="U33" i="3"/>
  <c r="AP25" i="3"/>
  <c r="J9" i="19"/>
  <c r="U225" i="3"/>
  <c r="U63" i="3"/>
  <c r="U27" i="3"/>
  <c r="U29" i="3"/>
  <c r="U31" i="3" s="1"/>
  <c r="W225" i="3"/>
  <c r="W29" i="3"/>
  <c r="W31" i="3" s="1"/>
  <c r="V30" i="3"/>
  <c r="H481" i="10"/>
  <c r="H193" i="2"/>
  <c r="J1300" i="13"/>
  <c r="M608" i="13"/>
  <c r="C648" i="13"/>
  <c r="M648" i="13" s="1"/>
  <c r="W590" i="13"/>
  <c r="W646" i="13"/>
  <c r="M646" i="13"/>
  <c r="N590" i="13"/>
  <c r="D594" i="13"/>
  <c r="N594" i="13" s="1"/>
  <c r="D632" i="13"/>
  <c r="X628" i="13"/>
  <c r="N628" i="13"/>
  <c r="C594" i="13"/>
  <c r="M594" i="13" s="1"/>
  <c r="C632" i="13"/>
  <c r="W628" i="13"/>
  <c r="M628" i="13"/>
  <c r="F85" i="8"/>
  <c r="C610" i="13"/>
  <c r="W610" i="13" s="1"/>
  <c r="M24" i="14"/>
  <c r="AM24" i="14" s="1"/>
  <c r="AM23" i="14"/>
  <c r="M6" i="14"/>
  <c r="E626" i="13"/>
  <c r="O626" i="13" s="1"/>
  <c r="G161" i="14"/>
  <c r="G162" i="14" s="1"/>
  <c r="G144" i="14"/>
  <c r="F626" i="13"/>
  <c r="P626" i="13" s="1"/>
  <c r="G140" i="14"/>
  <c r="G135" i="14" s="1"/>
  <c r="G98" i="14"/>
  <c r="D726" i="13"/>
  <c r="F7" i="8"/>
  <c r="V29" i="3"/>
  <c r="V225" i="3"/>
  <c r="V48" i="3"/>
  <c r="Q48" i="3"/>
  <c r="F58" i="14"/>
  <c r="AF58" i="14" s="1"/>
  <c r="G480" i="10"/>
  <c r="G205" i="10"/>
  <c r="G291" i="10"/>
  <c r="D727" i="13"/>
  <c r="G36" i="10"/>
  <c r="G7" i="17"/>
  <c r="Q225" i="3"/>
  <c r="Q218" i="3"/>
  <c r="G191" i="2"/>
  <c r="C34" i="20" l="1"/>
  <c r="C37" i="20" s="1"/>
  <c r="N11" i="20" s="1"/>
  <c r="J14" i="15"/>
  <c r="N283" i="10"/>
  <c r="N284" i="10" s="1"/>
  <c r="Y25" i="3"/>
  <c r="M9" i="19" s="1"/>
  <c r="M26" i="19" s="1"/>
  <c r="G5" i="2"/>
  <c r="S9" i="19"/>
  <c r="J26" i="19"/>
  <c r="H15" i="21"/>
  <c r="I15" i="21" s="1"/>
  <c r="J15" i="21" s="1"/>
  <c r="K15" i="21" s="1"/>
  <c r="L15" i="21" s="1"/>
  <c r="M15" i="21" s="1"/>
  <c r="N15" i="21" s="1"/>
  <c r="O15" i="21" s="1"/>
  <c r="H32" i="21"/>
  <c r="I32" i="21" s="1"/>
  <c r="J32" i="21" s="1"/>
  <c r="K32" i="21" s="1"/>
  <c r="L32" i="21" s="1"/>
  <c r="M32" i="21" s="1"/>
  <c r="N32" i="21" s="1"/>
  <c r="O32" i="21" s="1"/>
  <c r="J10" i="19"/>
  <c r="S10" i="19" s="1"/>
  <c r="AP63" i="3"/>
  <c r="U65" i="3"/>
  <c r="U88" i="3"/>
  <c r="V245" i="3"/>
  <c r="K1443" i="13" s="1"/>
  <c r="M72" i="19"/>
  <c r="R65" i="3"/>
  <c r="R61" i="3"/>
  <c r="Y229" i="3"/>
  <c r="Y12" i="3" s="1"/>
  <c r="C644" i="13"/>
  <c r="M644" i="13" s="1"/>
  <c r="W648" i="13"/>
  <c r="X594" i="13"/>
  <c r="W632" i="13"/>
  <c r="M632" i="13"/>
  <c r="W594" i="13"/>
  <c r="X632" i="13"/>
  <c r="N632" i="13"/>
  <c r="E588" i="13"/>
  <c r="F588" i="13"/>
  <c r="M610" i="13"/>
  <c r="C606" i="13"/>
  <c r="N408" i="13"/>
  <c r="E209" i="19"/>
  <c r="E219" i="19" s="1"/>
  <c r="M186" i="19"/>
  <c r="S209" i="19" s="1"/>
  <c r="M225" i="19"/>
  <c r="F59" i="14"/>
  <c r="AF59" i="14" s="1"/>
  <c r="G295" i="10"/>
  <c r="G508" i="10"/>
  <c r="F61" i="14"/>
  <c r="O284" i="10"/>
  <c r="G150" i="14"/>
  <c r="G153" i="14" s="1"/>
  <c r="G145" i="14"/>
  <c r="G148" i="14" s="1"/>
  <c r="Q219" i="3"/>
  <c r="G165" i="14"/>
  <c r="G168" i="14" s="1"/>
  <c r="G256" i="19"/>
  <c r="G273" i="19"/>
  <c r="K1448" i="13" l="1"/>
  <c r="K1444" i="13"/>
  <c r="Y225" i="3"/>
  <c r="Y29" i="3"/>
  <c r="Y31" i="3" s="1"/>
  <c r="AB337" i="19"/>
  <c r="AC338" i="19" s="1"/>
  <c r="X21" i="3"/>
  <c r="L1418" i="13" s="1"/>
  <c r="J1299" i="13"/>
  <c r="V248" i="3"/>
  <c r="R75" i="19"/>
  <c r="W644" i="13"/>
  <c r="C586" i="13"/>
  <c r="M586" i="13" s="1"/>
  <c r="C624" i="13"/>
  <c r="P588" i="13"/>
  <c r="O588" i="13"/>
  <c r="M606" i="13"/>
  <c r="W606" i="13"/>
  <c r="G286" i="19"/>
  <c r="G155" i="14"/>
  <c r="G96" i="14" s="1"/>
  <c r="G171" i="14"/>
  <c r="G174" i="14" s="1"/>
  <c r="G176" i="14" s="1"/>
  <c r="G97" i="14" s="1"/>
  <c r="AF61" i="14"/>
  <c r="F60" i="14"/>
  <c r="AF60" i="14" s="1"/>
  <c r="Q7" i="3"/>
  <c r="G18" i="2"/>
  <c r="N225" i="19"/>
  <c r="F209" i="19"/>
  <c r="F219" i="19" s="1"/>
  <c r="N186" i="19"/>
  <c r="T209" i="19" s="1"/>
  <c r="E210" i="19"/>
  <c r="E220" i="19" s="1"/>
  <c r="M187" i="19"/>
  <c r="S210" i="19" s="1"/>
  <c r="M226" i="19"/>
  <c r="G257" i="19"/>
  <c r="G258" i="19"/>
  <c r="G275" i="19"/>
  <c r="G284" i="19"/>
  <c r="AB381" i="19" l="1"/>
  <c r="AD337" i="19"/>
  <c r="AB379" i="19"/>
  <c r="AC339" i="19"/>
  <c r="AC340" i="19" s="1"/>
  <c r="AB334" i="19"/>
  <c r="AD334" i="19" s="1"/>
  <c r="V41" i="3"/>
  <c r="X18" i="3"/>
  <c r="W586" i="13"/>
  <c r="W624" i="13"/>
  <c r="M624" i="13"/>
  <c r="M227" i="19"/>
  <c r="G99" i="14"/>
  <c r="G114" i="14" s="1"/>
  <c r="G131" i="14" s="1"/>
  <c r="M229" i="19"/>
  <c r="E211" i="19"/>
  <c r="E221" i="19" s="1"/>
  <c r="N229" i="19"/>
  <c r="M188" i="19"/>
  <c r="S211" i="19" s="1"/>
  <c r="G19" i="2"/>
  <c r="E35" i="22" s="1"/>
  <c r="N187" i="19"/>
  <c r="T210" i="19" s="1"/>
  <c r="F210" i="19"/>
  <c r="F220" i="19" s="1"/>
  <c r="N226" i="19"/>
  <c r="G209" i="19"/>
  <c r="G219" i="19" s="1"/>
  <c r="O225" i="19"/>
  <c r="O186" i="19"/>
  <c r="U209" i="19" s="1"/>
  <c r="G253" i="19"/>
  <c r="G254" i="19"/>
  <c r="S75" i="19" l="1"/>
  <c r="G120" i="14"/>
  <c r="G122" i="14" s="1"/>
  <c r="F211" i="19"/>
  <c r="F221" i="19" s="1"/>
  <c r="N188" i="19"/>
  <c r="T211" i="19" s="1"/>
  <c r="N227" i="19"/>
  <c r="G210" i="19"/>
  <c r="G220" i="19" s="1"/>
  <c r="O226" i="19"/>
  <c r="O187" i="19"/>
  <c r="U210" i="19" s="1"/>
  <c r="H209" i="19"/>
  <c r="H219" i="19" s="1"/>
  <c r="P186" i="19"/>
  <c r="V209" i="19" s="1"/>
  <c r="P225" i="19"/>
  <c r="N407" i="13"/>
  <c r="N410" i="13" s="1"/>
  <c r="N411" i="13" s="1"/>
  <c r="M238" i="19"/>
  <c r="H272" i="19"/>
  <c r="G252" i="19"/>
  <c r="H279" i="19"/>
  <c r="O188" i="19" l="1"/>
  <c r="U211" i="19" s="1"/>
  <c r="O227" i="19"/>
  <c r="G211" i="19"/>
  <c r="G221" i="19" s="1"/>
  <c r="O229" i="19"/>
  <c r="P187" i="19"/>
  <c r="V210" i="19" s="1"/>
  <c r="P226" i="19"/>
  <c r="H210" i="19"/>
  <c r="H220" i="19" s="1"/>
  <c r="H256" i="19"/>
  <c r="H280" i="19"/>
  <c r="H275" i="19"/>
  <c r="H273" i="19"/>
  <c r="I949" i="13" l="1"/>
  <c r="P227" i="19"/>
  <c r="P229" i="19"/>
  <c r="P188" i="19"/>
  <c r="V211" i="19" s="1"/>
  <c r="H211" i="19"/>
  <c r="H221" i="19" s="1"/>
  <c r="H282" i="19"/>
  <c r="H284" i="19"/>
  <c r="H257" i="19"/>
  <c r="H258" i="19"/>
  <c r="I950" i="13" l="1"/>
  <c r="I952" i="13" s="1"/>
  <c r="I953" i="13" s="1"/>
  <c r="H253" i="19"/>
  <c r="H254" i="19"/>
  <c r="K279" i="19" l="1"/>
  <c r="H252" i="19"/>
  <c r="K272" i="19"/>
  <c r="K256" i="19" l="1"/>
  <c r="K275" i="19"/>
  <c r="K273" i="19"/>
  <c r="K280" i="19"/>
  <c r="K284" i="19" l="1"/>
  <c r="K282" i="19"/>
  <c r="K258" i="19"/>
  <c r="K257" i="19"/>
  <c r="K253" i="19" l="1"/>
  <c r="K254" i="19"/>
  <c r="M279" i="19" l="1"/>
  <c r="K252" i="19"/>
  <c r="M272" i="19"/>
  <c r="M273" i="19" l="1"/>
  <c r="M275" i="19"/>
  <c r="M256" i="19"/>
  <c r="M280" i="19"/>
  <c r="H288" i="19" l="1"/>
  <c r="V120" i="19"/>
  <c r="M257" i="19"/>
  <c r="M258" i="19"/>
  <c r="M284" i="19"/>
  <c r="M282" i="19"/>
  <c r="M254" i="19" l="1"/>
  <c r="M253" i="19"/>
  <c r="M252" i="19" l="1"/>
  <c r="N272" i="19"/>
  <c r="N279" i="19"/>
  <c r="N280" i="19" l="1"/>
  <c r="N275" i="19"/>
  <c r="N273" i="19"/>
  <c r="N256" i="19"/>
  <c r="Q55" i="19" l="1"/>
  <c r="N258" i="19"/>
  <c r="N257" i="19"/>
  <c r="N282" i="19"/>
  <c r="N284" i="19"/>
  <c r="P238" i="19" l="1"/>
  <c r="N253" i="19"/>
  <c r="N254" i="19"/>
  <c r="N252" i="19" l="1"/>
  <c r="G127" i="2"/>
  <c r="Q94" i="3"/>
  <c r="W287" i="3" l="1"/>
  <c r="W281" i="3" s="1"/>
  <c r="O238" i="19" l="1"/>
  <c r="H286" i="19"/>
  <c r="B16" i="1"/>
  <c r="G211" i="10"/>
  <c r="G216" i="10"/>
  <c r="G233" i="10" s="1"/>
  <c r="G232" i="10" s="1"/>
  <c r="G215" i="10" l="1"/>
  <c r="G223" i="10" s="1"/>
  <c r="G224" i="10" s="1"/>
  <c r="P55" i="19"/>
  <c r="N238" i="19"/>
  <c r="O55" i="19"/>
  <c r="Q372" i="3"/>
  <c r="C450" i="13" l="1"/>
  <c r="C451" i="13" s="1"/>
  <c r="G228" i="10"/>
  <c r="G206" i="10"/>
  <c r="G499" i="10"/>
  <c r="G236" i="10"/>
  <c r="G500" i="10"/>
  <c r="Q373" i="3"/>
  <c r="F31" i="8" l="1"/>
  <c r="G502" i="10"/>
  <c r="G203" i="10"/>
  <c r="G503" i="10" s="1"/>
  <c r="G6" i="2" l="1"/>
  <c r="G4" i="2" s="1"/>
  <c r="F4" i="8"/>
  <c r="F63" i="14"/>
  <c r="AF63" i="14" s="1"/>
  <c r="G16" i="10" l="1"/>
  <c r="G14" i="2"/>
  <c r="G23" i="2"/>
  <c r="G24" i="2" s="1"/>
  <c r="G27" i="2"/>
  <c r="G28" i="2" s="1"/>
  <c r="G32" i="2"/>
  <c r="Z287" i="3"/>
  <c r="Z281" i="3" s="1"/>
  <c r="G513" i="10"/>
  <c r="C587" i="13" l="1"/>
  <c r="M587" i="13" s="1"/>
  <c r="C625" i="13"/>
  <c r="G518" i="10"/>
  <c r="F65" i="14"/>
  <c r="AF65" i="14" s="1"/>
  <c r="D843" i="13"/>
  <c r="F5" i="8"/>
  <c r="G174" i="2" l="1"/>
  <c r="G35" i="2"/>
  <c r="G37" i="2" s="1"/>
  <c r="W587" i="13"/>
  <c r="M625" i="13"/>
  <c r="W625" i="13"/>
  <c r="C584" i="13"/>
  <c r="W584" i="13" s="1"/>
  <c r="C622" i="13"/>
  <c r="Q365" i="3"/>
  <c r="G15" i="2"/>
  <c r="G125" i="2"/>
  <c r="E62" i="13"/>
  <c r="E63" i="13" s="1"/>
  <c r="G58" i="2"/>
  <c r="Q68" i="3"/>
  <c r="F86" i="8"/>
  <c r="Q71" i="3"/>
  <c r="E3" i="18"/>
  <c r="G26" i="5"/>
  <c r="G9" i="2"/>
  <c r="E2" i="18"/>
  <c r="E9" i="18" s="1"/>
  <c r="Q6" i="3"/>
  <c r="F73" i="14"/>
  <c r="C803" i="13"/>
  <c r="D864" i="13"/>
  <c r="G524" i="10"/>
  <c r="G522" i="10"/>
  <c r="G523" i="10"/>
  <c r="G521" i="10"/>
  <c r="G527" i="10" s="1"/>
  <c r="G27" i="5" l="1"/>
  <c r="C598" i="13"/>
  <c r="W598" i="13" s="1"/>
  <c r="G36" i="2"/>
  <c r="H35" i="2"/>
  <c r="M584" i="13"/>
  <c r="W622" i="13"/>
  <c r="M622" i="13"/>
  <c r="C636" i="13"/>
  <c r="C596" i="13"/>
  <c r="M596" i="13" s="1"/>
  <c r="C634" i="13"/>
  <c r="M634" i="13" s="1"/>
  <c r="Q39" i="3"/>
  <c r="G528" i="10"/>
  <c r="G40" i="2"/>
  <c r="Q77" i="3"/>
  <c r="M803" i="13"/>
  <c r="L803" i="13"/>
  <c r="K803" i="13"/>
  <c r="Q72" i="3"/>
  <c r="Q59" i="3"/>
  <c r="F82" i="14"/>
  <c r="AF82" i="14" s="1"/>
  <c r="E4" i="18"/>
  <c r="G16" i="2"/>
  <c r="F74" i="14"/>
  <c r="AF74" i="14" s="1"/>
  <c r="F76" i="14"/>
  <c r="AF73" i="14"/>
  <c r="Q33" i="3"/>
  <c r="Q81" i="3"/>
  <c r="Q69" i="3"/>
  <c r="I35" i="2" l="1"/>
  <c r="H37" i="2"/>
  <c r="C638" i="13"/>
  <c r="M638" i="13" s="1"/>
  <c r="G175" i="2"/>
  <c r="M598" i="13"/>
  <c r="W636" i="13"/>
  <c r="M636" i="13"/>
  <c r="G47" i="2"/>
  <c r="C600" i="13"/>
  <c r="G53" i="2"/>
  <c r="E43" i="22"/>
  <c r="D868" i="13"/>
  <c r="Q366" i="3"/>
  <c r="Q78" i="3"/>
  <c r="F77" i="14"/>
  <c r="AF77" i="14" s="1"/>
  <c r="AF76" i="14"/>
  <c r="Q83" i="3"/>
  <c r="Q84" i="3" s="1"/>
  <c r="F84" i="14"/>
  <c r="AF84" i="14" s="1"/>
  <c r="J35" i="2" l="1"/>
  <c r="I37" i="2"/>
  <c r="G48" i="2"/>
  <c r="G28" i="5"/>
  <c r="G56" i="2"/>
  <c r="W638" i="13"/>
  <c r="C602" i="13"/>
  <c r="M602" i="13" s="1"/>
  <c r="C640" i="13"/>
  <c r="G50" i="2"/>
  <c r="E5" i="18" s="1"/>
  <c r="W600" i="13"/>
  <c r="M600" i="13"/>
  <c r="F86" i="14"/>
  <c r="AF86" i="14" s="1"/>
  <c r="G62" i="2"/>
  <c r="G92" i="2" s="1"/>
  <c r="G97" i="2" s="1"/>
  <c r="Q90" i="3"/>
  <c r="Q93" i="3" s="1"/>
  <c r="H211" i="10"/>
  <c r="I211" i="10"/>
  <c r="I215" i="10" s="1"/>
  <c r="I232" i="10" s="1"/>
  <c r="J211" i="10"/>
  <c r="J215" i="10" s="1"/>
  <c r="K211" i="10"/>
  <c r="K215" i="10" s="1"/>
  <c r="K232" i="10" s="1"/>
  <c r="L211" i="10"/>
  <c r="L215" i="10" s="1"/>
  <c r="L232" i="10" s="1"/>
  <c r="M211" i="10"/>
  <c r="M215" i="10" s="1"/>
  <c r="M232" i="10" s="1"/>
  <c r="N211" i="10"/>
  <c r="N215" i="10" s="1"/>
  <c r="N232" i="10" s="1"/>
  <c r="O211" i="10"/>
  <c r="O215" i="10" s="1"/>
  <c r="O232" i="10" s="1"/>
  <c r="I216" i="10"/>
  <c r="J216" i="10"/>
  <c r="K216" i="10"/>
  <c r="L216" i="10"/>
  <c r="M216" i="10"/>
  <c r="N216" i="10"/>
  <c r="O216" i="10"/>
  <c r="K35" i="2" l="1"/>
  <c r="J37" i="2"/>
  <c r="G65" i="2"/>
  <c r="N500" i="10"/>
  <c r="N233" i="10"/>
  <c r="F450" i="13"/>
  <c r="F451" i="13" s="1"/>
  <c r="J232" i="10"/>
  <c r="M500" i="10"/>
  <c r="M233" i="10"/>
  <c r="O500" i="10"/>
  <c r="O233" i="10"/>
  <c r="L500" i="10"/>
  <c r="L233" i="10"/>
  <c r="K500" i="10"/>
  <c r="K233" i="10"/>
  <c r="J500" i="10"/>
  <c r="J233" i="10"/>
  <c r="I500" i="10"/>
  <c r="I233" i="10"/>
  <c r="W602" i="13"/>
  <c r="G38" i="5"/>
  <c r="C642" i="13"/>
  <c r="W640" i="13"/>
  <c r="M640" i="13"/>
  <c r="G81" i="2"/>
  <c r="F88" i="14"/>
  <c r="AF88" i="14" s="1"/>
  <c r="E6" i="18"/>
  <c r="Q99" i="3"/>
  <c r="G63" i="2"/>
  <c r="F89" i="14" s="1"/>
  <c r="G30" i="5"/>
  <c r="E3" i="22" s="1"/>
  <c r="G80" i="2"/>
  <c r="G124" i="2"/>
  <c r="G123" i="2" s="1"/>
  <c r="G229" i="2"/>
  <c r="C604" i="13"/>
  <c r="K235" i="10"/>
  <c r="J235" i="10"/>
  <c r="O499" i="10"/>
  <c r="O223" i="10"/>
  <c r="O224" i="10" s="1"/>
  <c r="O235" i="10"/>
  <c r="M223" i="10"/>
  <c r="M224" i="10" s="1"/>
  <c r="N499" i="10"/>
  <c r="N223" i="10"/>
  <c r="N224" i="10" s="1"/>
  <c r="N235" i="10"/>
  <c r="L499" i="10"/>
  <c r="L235" i="10"/>
  <c r="L223" i="10"/>
  <c r="L224" i="10" s="1"/>
  <c r="J223" i="10"/>
  <c r="J224" i="10" s="1"/>
  <c r="K223" i="10"/>
  <c r="K224" i="10" s="1"/>
  <c r="I223" i="10"/>
  <c r="I224" i="10" s="1"/>
  <c r="I235" i="10"/>
  <c r="M235" i="10"/>
  <c r="K450" i="13"/>
  <c r="K451" i="13" s="1"/>
  <c r="I450" i="13"/>
  <c r="I451" i="13" s="1"/>
  <c r="H500" i="10"/>
  <c r="E450" i="13"/>
  <c r="E451" i="13" s="1"/>
  <c r="J450" i="13"/>
  <c r="J451" i="13" s="1"/>
  <c r="H450" i="13"/>
  <c r="H451" i="13" s="1"/>
  <c r="G450" i="13"/>
  <c r="G451" i="13" s="1"/>
  <c r="G288" i="19"/>
  <c r="U120" i="19"/>
  <c r="L35" i="2" l="1"/>
  <c r="K37" i="2"/>
  <c r="G224" i="2"/>
  <c r="G91" i="2" s="1"/>
  <c r="G96" i="2" s="1"/>
  <c r="G98" i="2" s="1"/>
  <c r="P113" i="3"/>
  <c r="I236" i="10"/>
  <c r="W642" i="13"/>
  <c r="M642" i="13"/>
  <c r="M604" i="13"/>
  <c r="W604" i="13"/>
  <c r="K499" i="10"/>
  <c r="E12" i="4"/>
  <c r="L236" i="10"/>
  <c r="M499" i="10"/>
  <c r="J236" i="10"/>
  <c r="K236" i="10"/>
  <c r="O236" i="10"/>
  <c r="N236" i="10"/>
  <c r="I499" i="10"/>
  <c r="M236" i="10"/>
  <c r="J499" i="10"/>
  <c r="H499" i="10"/>
  <c r="G93" i="2" l="1"/>
  <c r="G116" i="2"/>
  <c r="G32" i="5"/>
  <c r="E19" i="22" s="1"/>
  <c r="G33" i="5"/>
  <c r="M35" i="2"/>
  <c r="L37" i="2"/>
  <c r="E12" i="18"/>
  <c r="G5" i="17"/>
  <c r="P111" i="3"/>
  <c r="P110" i="3"/>
  <c r="L127" i="2"/>
  <c r="H502" i="10"/>
  <c r="M127" i="2"/>
  <c r="N35" i="2" l="1"/>
  <c r="M37" i="2"/>
  <c r="N127" i="2"/>
  <c r="J127" i="2"/>
  <c r="K127" i="2"/>
  <c r="O35" i="2" l="1"/>
  <c r="O37" i="2" s="1"/>
  <c r="N37" i="2"/>
  <c r="I127" i="2"/>
  <c r="O127" i="2"/>
  <c r="H127" i="2" l="1"/>
  <c r="V94" i="3"/>
  <c r="F27" i="8" l="1"/>
  <c r="H25" i="8" l="1"/>
  <c r="I25" i="8" l="1"/>
  <c r="J25" i="8" l="1"/>
  <c r="K25" i="8" l="1"/>
  <c r="L25" i="8" l="1"/>
  <c r="M25" i="8" l="1"/>
  <c r="N25" i="8"/>
  <c r="G182" i="2" l="1"/>
  <c r="G181" i="2" s="1"/>
  <c r="F142" i="10"/>
  <c r="G142" i="10"/>
  <c r="F147" i="10"/>
  <c r="G147" i="10"/>
  <c r="C1459" i="13" s="1"/>
  <c r="E31" i="14"/>
  <c r="E7" i="14" s="1"/>
  <c r="F31" i="14"/>
  <c r="F7" i="14" s="1"/>
  <c r="F14" i="14" s="1"/>
  <c r="C1493" i="13" l="1"/>
  <c r="C1461" i="13"/>
  <c r="C1465" i="13" s="1"/>
  <c r="C1471" i="13" s="1"/>
  <c r="E32" i="14"/>
  <c r="AF31" i="14"/>
  <c r="F44" i="14"/>
  <c r="E44" i="14"/>
  <c r="E46" i="14" s="1"/>
  <c r="F32" i="14"/>
  <c r="AF32" i="14" s="1"/>
  <c r="G289" i="10"/>
  <c r="C1477" i="13" l="1"/>
  <c r="C1464" i="13"/>
  <c r="C1470" i="13" s="1"/>
  <c r="C1466" i="13"/>
  <c r="C1472" i="13" s="1"/>
  <c r="C1516" i="13"/>
  <c r="C1478" i="13"/>
  <c r="C1517" i="13"/>
  <c r="C1515" i="13"/>
  <c r="C1476" i="13"/>
  <c r="AF44" i="14"/>
  <c r="F46" i="14"/>
  <c r="AF46" i="14" s="1"/>
  <c r="G297" i="10"/>
  <c r="D301" i="10" s="1"/>
  <c r="G293" i="10"/>
  <c r="D300" i="10" s="1"/>
  <c r="H507" i="10" l="1"/>
  <c r="H38" i="10"/>
  <c r="J949" i="13" l="1"/>
  <c r="H61" i="10"/>
  <c r="H62" i="10" s="1"/>
  <c r="H53" i="10"/>
  <c r="H59" i="10"/>
  <c r="H60" i="10" s="1"/>
  <c r="H49" i="10"/>
  <c r="H51" i="10"/>
  <c r="H35" i="10"/>
  <c r="D648" i="13"/>
  <c r="C1289" i="13"/>
  <c r="M1289" i="13" s="1"/>
  <c r="H98" i="14"/>
  <c r="H140" i="14"/>
  <c r="D610" i="13"/>
  <c r="E726" i="13"/>
  <c r="H40" i="10"/>
  <c r="D1565" i="13" l="1"/>
  <c r="H57" i="10"/>
  <c r="H58" i="10" s="1"/>
  <c r="H67" i="10"/>
  <c r="V9" i="3"/>
  <c r="V218" i="3"/>
  <c r="H191" i="2"/>
  <c r="H182" i="2" s="1"/>
  <c r="G7" i="8"/>
  <c r="H36" i="10"/>
  <c r="H7" i="17"/>
  <c r="X610" i="13"/>
  <c r="N610" i="13"/>
  <c r="N648" i="13"/>
  <c r="X648" i="13"/>
  <c r="E727" i="13"/>
  <c r="E725" i="13"/>
  <c r="D646" i="13"/>
  <c r="H138" i="14"/>
  <c r="H159" i="14"/>
  <c r="G85" i="8"/>
  <c r="H136" i="14"/>
  <c r="C1287" i="13"/>
  <c r="M1287" i="13" s="1"/>
  <c r="V8" i="3"/>
  <c r="D608" i="13"/>
  <c r="G59" i="14"/>
  <c r="AG59" i="14" s="1"/>
  <c r="H508" i="10"/>
  <c r="H295" i="10"/>
  <c r="D1569" i="13" l="1"/>
  <c r="J950" i="13"/>
  <c r="H135" i="14"/>
  <c r="X646" i="13"/>
  <c r="N646" i="13"/>
  <c r="D644" i="13"/>
  <c r="Q187" i="19"/>
  <c r="W209" i="19" s="1"/>
  <c r="Q226" i="19"/>
  <c r="K210" i="19"/>
  <c r="K220" i="19" s="1"/>
  <c r="C1285" i="13"/>
  <c r="M1285" i="13" s="1"/>
  <c r="V219" i="3"/>
  <c r="H161" i="14"/>
  <c r="H162" i="14" s="1"/>
  <c r="H144" i="14"/>
  <c r="H205" i="10"/>
  <c r="H291" i="10"/>
  <c r="G58" i="14"/>
  <c r="AG58" i="14" s="1"/>
  <c r="N608" i="13"/>
  <c r="X608" i="13"/>
  <c r="D606" i="13"/>
  <c r="Q186" i="19" l="1"/>
  <c r="W208" i="19" s="1"/>
  <c r="K209" i="19"/>
  <c r="K219" i="19" s="1"/>
  <c r="Q225" i="19"/>
  <c r="H145" i="14"/>
  <c r="H148" i="14" s="1"/>
  <c r="H150" i="14"/>
  <c r="H153" i="14" s="1"/>
  <c r="N644" i="13"/>
  <c r="X644" i="13"/>
  <c r="H165" i="14"/>
  <c r="H168" i="14" s="1"/>
  <c r="N606" i="13"/>
  <c r="X606" i="13"/>
  <c r="H5" i="2"/>
  <c r="C14" i="15" s="1"/>
  <c r="G61" i="14"/>
  <c r="V7" i="3" l="1"/>
  <c r="V11" i="3" s="1"/>
  <c r="H155" i="14"/>
  <c r="H96" i="14" s="1"/>
  <c r="H171" i="14"/>
  <c r="H174" i="14" s="1"/>
  <c r="H176" i="14" s="1"/>
  <c r="H97" i="14" s="1"/>
  <c r="C1270" i="13"/>
  <c r="D586" i="13"/>
  <c r="H18" i="2"/>
  <c r="D624" i="13"/>
  <c r="G60" i="14"/>
  <c r="AG60" i="14" s="1"/>
  <c r="AG61" i="14"/>
  <c r="C1277" i="13" l="1"/>
  <c r="M1277" i="13" s="1"/>
  <c r="M1270" i="13"/>
  <c r="H99" i="14"/>
  <c r="W236" i="3"/>
  <c r="X624" i="13"/>
  <c r="N624" i="13"/>
  <c r="H19" i="2"/>
  <c r="F35" i="22" s="1"/>
  <c r="X586" i="13"/>
  <c r="N586" i="13"/>
  <c r="K211" i="19"/>
  <c r="K221" i="19" s="1"/>
  <c r="Q188" i="19"/>
  <c r="W210" i="19" s="1"/>
  <c r="Q229" i="19"/>
  <c r="Q227" i="19"/>
  <c r="V71" i="3"/>
  <c r="X242" i="3" l="1"/>
  <c r="H1358" i="13"/>
  <c r="H1359" i="13" s="1"/>
  <c r="O91" i="19"/>
  <c r="X356" i="3"/>
  <c r="X357" i="3" s="1"/>
  <c r="W242" i="3"/>
  <c r="W270" i="3"/>
  <c r="X276" i="3" s="1"/>
  <c r="L35" i="19" s="1"/>
  <c r="W63" i="3"/>
  <c r="W88" i="3" s="1"/>
  <c r="K6" i="19"/>
  <c r="W54" i="3"/>
  <c r="W6" i="3"/>
  <c r="AR6" i="3" s="1"/>
  <c r="V68" i="3"/>
  <c r="H31" i="2"/>
  <c r="W218" i="3"/>
  <c r="V77" i="3"/>
  <c r="H40" i="2"/>
  <c r="H148" i="2"/>
  <c r="W105" i="3" l="1"/>
  <c r="K31" i="19"/>
  <c r="K33" i="19" s="1"/>
  <c r="X65" i="3"/>
  <c r="K10" i="19"/>
  <c r="T10" i="19" s="1"/>
  <c r="T6" i="19"/>
  <c r="W84" i="3"/>
  <c r="W39" i="3"/>
  <c r="Q466" i="19" s="1"/>
  <c r="W53" i="3"/>
  <c r="W56" i="3" s="1"/>
  <c r="K13" i="19"/>
  <c r="T13" i="19" s="1"/>
  <c r="K4" i="19"/>
  <c r="W33" i="3"/>
  <c r="W81" i="3"/>
  <c r="W75" i="3"/>
  <c r="W69" i="3"/>
  <c r="W78" i="3"/>
  <c r="W72" i="3"/>
  <c r="W227" i="3"/>
  <c r="W65" i="3"/>
  <c r="V83" i="3"/>
  <c r="D638" i="13"/>
  <c r="D600" i="13"/>
  <c r="G84" i="14"/>
  <c r="AG84" i="14" s="1"/>
  <c r="T31" i="19" l="1"/>
  <c r="T4" i="19"/>
  <c r="T33" i="19"/>
  <c r="W356" i="3"/>
  <c r="W357" i="3" s="1"/>
  <c r="W355" i="3"/>
  <c r="W48" i="3"/>
  <c r="W59" i="3" s="1"/>
  <c r="K14" i="19" s="1"/>
  <c r="W219" i="3"/>
  <c r="Q238" i="19"/>
  <c r="R55" i="19"/>
  <c r="X600" i="13"/>
  <c r="N600" i="13"/>
  <c r="X638" i="13"/>
  <c r="N638" i="13"/>
  <c r="T14" i="19" l="1"/>
  <c r="K17" i="19"/>
  <c r="W90" i="3"/>
  <c r="W99" i="3" s="1"/>
  <c r="W60" i="3"/>
  <c r="K15" i="19"/>
  <c r="V92" i="3"/>
  <c r="H60" i="2"/>
  <c r="W93" i="3" l="1"/>
  <c r="W97" i="3"/>
  <c r="W100" i="3"/>
  <c r="K20" i="19" s="1"/>
  <c r="K19" i="19"/>
  <c r="H229" i="2"/>
  <c r="H224" i="2" s="1"/>
  <c r="W453" i="3"/>
  <c r="W454" i="3" s="1"/>
  <c r="H33" i="5" l="1"/>
  <c r="H91" i="2"/>
  <c r="F12" i="18"/>
  <c r="H5" i="17"/>
  <c r="H116" i="2" l="1"/>
  <c r="H96" i="2"/>
  <c r="K956" i="13"/>
  <c r="E13" i="18" l="1"/>
  <c r="G4" i="17"/>
  <c r="E6" i="17"/>
  <c r="G11" i="17"/>
  <c r="H11" i="17" s="1"/>
  <c r="G13" i="17"/>
  <c r="G34" i="5"/>
  <c r="E27" i="22" s="1"/>
  <c r="I11" i="17" l="1"/>
  <c r="J11" i="17" l="1"/>
  <c r="K11" i="17" l="1"/>
  <c r="G134" i="2"/>
  <c r="G122" i="2" s="1"/>
  <c r="G168" i="2" s="1"/>
  <c r="G211" i="2"/>
  <c r="G206" i="2" s="1"/>
  <c r="G205" i="2" l="1"/>
  <c r="G231" i="2" s="1"/>
  <c r="G29" i="5"/>
  <c r="G171" i="2"/>
  <c r="H169" i="2" s="1"/>
  <c r="G177" i="2" l="1"/>
  <c r="E11" i="22"/>
  <c r="C1171" i="13" l="1"/>
  <c r="R72" i="19" l="1"/>
  <c r="M286" i="19" s="1"/>
  <c r="K286" i="19"/>
  <c r="S72" i="19" l="1"/>
  <c r="N286" i="19" s="1"/>
  <c r="X120" i="19" l="1"/>
  <c r="R71" i="19"/>
  <c r="M288" i="19" s="1"/>
  <c r="K288" i="19"/>
  <c r="W120" i="19"/>
  <c r="I956" i="13" l="1"/>
  <c r="S71" i="19"/>
  <c r="N288" i="19" s="1"/>
  <c r="Y120" i="19"/>
  <c r="J956" i="13" l="1"/>
  <c r="I957" i="13"/>
  <c r="E767" i="16" l="1"/>
  <c r="J957" i="13"/>
  <c r="E769" i="16" l="1"/>
  <c r="E768" i="16"/>
  <c r="W110" i="3"/>
  <c r="P23" i="19" l="1"/>
  <c r="H181" i="2" l="1"/>
  <c r="F13" i="18" l="1"/>
  <c r="H12" i="17"/>
  <c r="H4" i="17"/>
  <c r="H10" i="17"/>
  <c r="H134" i="2"/>
  <c r="H211" i="2"/>
  <c r="H3" i="17" l="1"/>
  <c r="H206" i="2"/>
  <c r="H205" i="2" l="1"/>
  <c r="H231" i="2" s="1"/>
  <c r="H29" i="5"/>
  <c r="J7" i="15" s="1"/>
  <c r="F11" i="22" l="1"/>
  <c r="V229" i="3"/>
  <c r="H25" i="10"/>
  <c r="H209" i="10" s="1"/>
  <c r="H210" i="10" s="1"/>
  <c r="H26" i="10"/>
  <c r="H241" i="10" s="1"/>
  <c r="H242" i="10" s="1"/>
  <c r="H254" i="10" s="1"/>
  <c r="H27" i="10"/>
  <c r="H265" i="10" s="1"/>
  <c r="H137" i="10"/>
  <c r="G3" i="14" s="1"/>
  <c r="H325" i="10"/>
  <c r="E271" i="13" s="1"/>
  <c r="G9" i="14"/>
  <c r="G16" i="14" s="1"/>
  <c r="I137" i="10" l="1"/>
  <c r="I145" i="10" s="1"/>
  <c r="H145" i="10"/>
  <c r="H140" i="10"/>
  <c r="H138" i="10"/>
  <c r="V230" i="3"/>
  <c r="W12" i="3"/>
  <c r="G49" i="8"/>
  <c r="AG3" i="14"/>
  <c r="H467" i="10"/>
  <c r="H167" i="10"/>
  <c r="H360" i="10"/>
  <c r="G60" i="8" s="1"/>
  <c r="G59" i="8" s="1"/>
  <c r="H347" i="10"/>
  <c r="G55" i="8" s="1"/>
  <c r="E267" i="13" s="1"/>
  <c r="E268" i="13" s="1"/>
  <c r="H328" i="10"/>
  <c r="G10" i="14"/>
  <c r="G15" i="14"/>
  <c r="H246" i="10"/>
  <c r="H247" i="10"/>
  <c r="H496" i="10"/>
  <c r="F8" i="18"/>
  <c r="H136" i="10"/>
  <c r="H9" i="10"/>
  <c r="H83" i="10"/>
  <c r="D1492" i="13" l="1"/>
  <c r="D1573" i="13"/>
  <c r="D1577" i="13" s="1"/>
  <c r="D1578" i="13" s="1"/>
  <c r="D1574" i="13" s="1"/>
  <c r="I22" i="10"/>
  <c r="J137" i="10"/>
  <c r="J22" i="10" s="1"/>
  <c r="H86" i="10"/>
  <c r="H468" i="10" s="1"/>
  <c r="H89" i="10"/>
  <c r="H469" i="10"/>
  <c r="G23" i="14"/>
  <c r="H489" i="10"/>
  <c r="H148" i="10"/>
  <c r="I8" i="10"/>
  <c r="I140" i="10"/>
  <c r="E1573" i="13" s="1"/>
  <c r="H142" i="10"/>
  <c r="G31" i="14"/>
  <c r="H490" i="10"/>
  <c r="H516" i="10"/>
  <c r="G70" i="14"/>
  <c r="AG70" i="14" s="1"/>
  <c r="G54" i="8"/>
  <c r="G69" i="14" s="1"/>
  <c r="H329" i="10"/>
  <c r="G50" i="8" s="1"/>
  <c r="G48" i="8" s="1"/>
  <c r="H334" i="10"/>
  <c r="I13" i="10"/>
  <c r="Z200" i="3" s="1"/>
  <c r="Z198" i="3" s="1"/>
  <c r="Z208" i="3" s="1"/>
  <c r="Z209" i="3" s="1"/>
  <c r="I18" i="10"/>
  <c r="I26" i="10" s="1"/>
  <c r="F11" i="18"/>
  <c r="H203" i="10"/>
  <c r="H503" i="10" s="1"/>
  <c r="H194" i="10"/>
  <c r="H195" i="10"/>
  <c r="V373" i="3" s="1"/>
  <c r="H196" i="10"/>
  <c r="V340" i="3"/>
  <c r="H488" i="10"/>
  <c r="H480" i="10" s="1"/>
  <c r="H259" i="10"/>
  <c r="H4" i="21"/>
  <c r="H5" i="21" s="1"/>
  <c r="I29" i="10" l="1"/>
  <c r="K19" i="15" s="1"/>
  <c r="E1492" i="13"/>
  <c r="J13" i="10"/>
  <c r="J18" i="10"/>
  <c r="J19" i="10" s="1"/>
  <c r="J8" i="10"/>
  <c r="L13" i="15" s="1"/>
  <c r="J145" i="10"/>
  <c r="AG23" i="14"/>
  <c r="G24" i="14"/>
  <c r="AG24" i="14" s="1"/>
  <c r="G6" i="14"/>
  <c r="G13" i="14" s="1"/>
  <c r="J20" i="15"/>
  <c r="H470" i="10"/>
  <c r="H475" i="10" s="1"/>
  <c r="I136" i="10"/>
  <c r="I489" i="10" s="1"/>
  <c r="K13" i="15"/>
  <c r="H3" i="14"/>
  <c r="AH3" i="14" s="1"/>
  <c r="I20" i="21"/>
  <c r="I3" i="21" s="1"/>
  <c r="I325" i="10"/>
  <c r="F271" i="13" s="1"/>
  <c r="I9" i="10"/>
  <c r="H39" i="8" s="1"/>
  <c r="J140" i="10"/>
  <c r="F1573" i="13" s="1"/>
  <c r="K137" i="10"/>
  <c r="K145" i="10" s="1"/>
  <c r="I83" i="10"/>
  <c r="I488" i="10" s="1"/>
  <c r="G8" i="18"/>
  <c r="I142" i="10"/>
  <c r="I254" i="10" s="1"/>
  <c r="I242" i="10" s="1"/>
  <c r="I193" i="10" s="1"/>
  <c r="I241" i="10" s="1"/>
  <c r="I167" i="10"/>
  <c r="I490" i="10" s="1"/>
  <c r="H31" i="14"/>
  <c r="H7" i="14" s="1"/>
  <c r="I360" i="10"/>
  <c r="H60" i="8" s="1"/>
  <c r="H59" i="8" s="1"/>
  <c r="H70" i="14" s="1"/>
  <c r="AH70" i="14" s="1"/>
  <c r="I467" i="10"/>
  <c r="I347" i="10"/>
  <c r="H55" i="8" s="1"/>
  <c r="F267" i="13" s="1"/>
  <c r="F268" i="13" s="1"/>
  <c r="H179" i="10"/>
  <c r="H98" i="10" s="1"/>
  <c r="H99" i="10" s="1"/>
  <c r="H289" i="10"/>
  <c r="AG31" i="14"/>
  <c r="G32" i="14"/>
  <c r="AG32" i="14" s="1"/>
  <c r="G7" i="14"/>
  <c r="G14" i="14" s="1"/>
  <c r="H515" i="10"/>
  <c r="H260" i="10"/>
  <c r="H235" i="10"/>
  <c r="G68" i="14"/>
  <c r="AG68" i="14" s="1"/>
  <c r="H514" i="10"/>
  <c r="I25" i="10"/>
  <c r="I27" i="10"/>
  <c r="I19" i="10"/>
  <c r="I11" i="10"/>
  <c r="AG69" i="14"/>
  <c r="H8" i="21"/>
  <c r="H12" i="21"/>
  <c r="H206" i="10"/>
  <c r="V372" i="3"/>
  <c r="H9" i="14" l="1"/>
  <c r="J136" i="10"/>
  <c r="J489" i="10" s="1"/>
  <c r="J347" i="10"/>
  <c r="I55" i="8" s="1"/>
  <c r="H8" i="18"/>
  <c r="J29" i="10"/>
  <c r="L19" i="15" s="1"/>
  <c r="F1492" i="13"/>
  <c r="J467" i="10"/>
  <c r="J325" i="10"/>
  <c r="I49" i="8" s="1"/>
  <c r="I3" i="14"/>
  <c r="AI3" i="14" s="1"/>
  <c r="J360" i="10"/>
  <c r="I60" i="8" s="1"/>
  <c r="I59" i="8" s="1"/>
  <c r="I70" i="14" s="1"/>
  <c r="AI70" i="14" s="1"/>
  <c r="J167" i="10"/>
  <c r="J490" i="10" s="1"/>
  <c r="J83" i="10"/>
  <c r="J488" i="10" s="1"/>
  <c r="J9" i="10"/>
  <c r="I39" i="8" s="1"/>
  <c r="I28" i="21"/>
  <c r="I11" i="21" s="1"/>
  <c r="I12" i="21" s="1"/>
  <c r="J20" i="21"/>
  <c r="J3" i="21" s="1"/>
  <c r="I24" i="21"/>
  <c r="I7" i="21" s="1"/>
  <c r="I190" i="2" s="1"/>
  <c r="H49" i="8"/>
  <c r="I328" i="10"/>
  <c r="I329" i="10" s="1"/>
  <c r="H50" i="8" s="1"/>
  <c r="H48" i="8" s="1"/>
  <c r="I31" i="14"/>
  <c r="J289" i="10" s="1"/>
  <c r="I496" i="10"/>
  <c r="J142" i="10"/>
  <c r="J254" i="10" s="1"/>
  <c r="J242" i="10" s="1"/>
  <c r="J193" i="10" s="1"/>
  <c r="J241" i="10" s="1"/>
  <c r="K140" i="10"/>
  <c r="G1573" i="13" s="1"/>
  <c r="I99" i="10"/>
  <c r="I103" i="10" s="1"/>
  <c r="K22" i="10"/>
  <c r="K18" i="10" s="1"/>
  <c r="K26" i="10" s="1"/>
  <c r="K8" i="10"/>
  <c r="K325" i="10" s="1"/>
  <c r="L137" i="10"/>
  <c r="M137" i="10" s="1"/>
  <c r="I247" i="10"/>
  <c r="I246" i="10"/>
  <c r="H32" i="14"/>
  <c r="AH32" i="14" s="1"/>
  <c r="I289" i="10"/>
  <c r="AH31" i="14"/>
  <c r="H54" i="8"/>
  <c r="H69" i="14" s="1"/>
  <c r="AH69" i="14" s="1"/>
  <c r="I516" i="10"/>
  <c r="G71" i="14"/>
  <c r="AG71" i="14" s="1"/>
  <c r="H293" i="10"/>
  <c r="E300" i="10" s="1"/>
  <c r="H297" i="10"/>
  <c r="E301" i="10" s="1"/>
  <c r="I4" i="21"/>
  <c r="I5" i="21" s="1"/>
  <c r="I212" i="2"/>
  <c r="G267" i="13"/>
  <c r="G268" i="13" s="1"/>
  <c r="I54" i="8"/>
  <c r="H14" i="14"/>
  <c r="J11" i="10"/>
  <c r="J25" i="10"/>
  <c r="J27" i="10"/>
  <c r="H10" i="14"/>
  <c r="H13" i="14"/>
  <c r="H15" i="14"/>
  <c r="H16" i="14"/>
  <c r="H100" i="10"/>
  <c r="H106" i="10"/>
  <c r="H115" i="10"/>
  <c r="G49" i="14"/>
  <c r="J26" i="10"/>
  <c r="G11" i="18"/>
  <c r="I194" i="10"/>
  <c r="AA372" i="3" s="1"/>
  <c r="Z372" i="3" s="1"/>
  <c r="I195" i="10"/>
  <c r="AA373" i="3" s="1"/>
  <c r="Z373" i="3" s="1"/>
  <c r="I196" i="10"/>
  <c r="I209" i="10"/>
  <c r="I265" i="10"/>
  <c r="AA340" i="3"/>
  <c r="Z340" i="3" s="1"/>
  <c r="I9" i="14" l="1"/>
  <c r="J328" i="10"/>
  <c r="J334" i="10" s="1"/>
  <c r="G271" i="13"/>
  <c r="J516" i="10"/>
  <c r="K142" i="10"/>
  <c r="K254" i="10" s="1"/>
  <c r="K242" i="10" s="1"/>
  <c r="K246" i="10" s="1"/>
  <c r="G1492" i="13"/>
  <c r="J99" i="10"/>
  <c r="J103" i="10" s="1"/>
  <c r="J24" i="21"/>
  <c r="J7" i="21" s="1"/>
  <c r="J8" i="21" s="1"/>
  <c r="J28" i="21"/>
  <c r="J11" i="21" s="1"/>
  <c r="J192" i="2" s="1"/>
  <c r="I192" i="2"/>
  <c r="I136" i="2" s="1"/>
  <c r="I334" i="10"/>
  <c r="I8" i="21"/>
  <c r="K467" i="10"/>
  <c r="K9" i="10"/>
  <c r="J39" i="8" s="1"/>
  <c r="J3" i="14"/>
  <c r="AJ3" i="14" s="1"/>
  <c r="K360" i="10"/>
  <c r="J60" i="8" s="1"/>
  <c r="J59" i="8" s="1"/>
  <c r="K516" i="10" s="1"/>
  <c r="K167" i="10"/>
  <c r="K490" i="10" s="1"/>
  <c r="K83" i="10"/>
  <c r="K99" i="10" s="1"/>
  <c r="K103" i="10" s="1"/>
  <c r="K347" i="10"/>
  <c r="J55" i="8" s="1"/>
  <c r="H267" i="13" s="1"/>
  <c r="H268" i="13" s="1"/>
  <c r="K13" i="10"/>
  <c r="I32" i="14"/>
  <c r="AI32" i="14" s="1"/>
  <c r="I8" i="18"/>
  <c r="I7" i="14"/>
  <c r="I14" i="14" s="1"/>
  <c r="J31" i="14"/>
  <c r="K289" i="10" s="1"/>
  <c r="K29" i="10"/>
  <c r="M19" i="15" s="1"/>
  <c r="N19" i="15" s="1"/>
  <c r="J496" i="10"/>
  <c r="AI31" i="14"/>
  <c r="J247" i="10"/>
  <c r="J246" i="10"/>
  <c r="K20" i="21"/>
  <c r="K3" i="21" s="1"/>
  <c r="L22" i="10"/>
  <c r="L13" i="10" s="1"/>
  <c r="L145" i="10"/>
  <c r="I259" i="10"/>
  <c r="I202" i="10" s="1"/>
  <c r="H33" i="8" s="1"/>
  <c r="AA15" i="3" s="1"/>
  <c r="Z15" i="3" s="1"/>
  <c r="K136" i="10"/>
  <c r="K489" i="10" s="1"/>
  <c r="M13" i="15"/>
  <c r="N13" i="15" s="1"/>
  <c r="L140" i="10"/>
  <c r="H1573" i="13" s="1"/>
  <c r="L8" i="10"/>
  <c r="L325" i="10" s="1"/>
  <c r="I515" i="10"/>
  <c r="I514" i="10"/>
  <c r="H68" i="14"/>
  <c r="K11" i="10"/>
  <c r="K25" i="10"/>
  <c r="K27" i="10"/>
  <c r="K19" i="10"/>
  <c r="J4" i="21"/>
  <c r="J5" i="21" s="1"/>
  <c r="J212" i="2"/>
  <c r="I71" i="8" s="1"/>
  <c r="J515" i="10"/>
  <c r="I69" i="14"/>
  <c r="AI69" i="14" s="1"/>
  <c r="AG49" i="14"/>
  <c r="M8" i="10"/>
  <c r="M136" i="10" s="1"/>
  <c r="M489" i="10" s="1"/>
  <c r="N137" i="10"/>
  <c r="M140" i="10"/>
  <c r="M145" i="10"/>
  <c r="M22" i="10"/>
  <c r="H116" i="10"/>
  <c r="H122" i="10"/>
  <c r="I10" i="14"/>
  <c r="I13" i="14"/>
  <c r="I15" i="14"/>
  <c r="I16" i="14"/>
  <c r="H271" i="13"/>
  <c r="J49" i="8"/>
  <c r="K328" i="10"/>
  <c r="H11" i="18"/>
  <c r="J196" i="10"/>
  <c r="J209" i="10"/>
  <c r="J265" i="10"/>
  <c r="J194" i="10"/>
  <c r="J195" i="10"/>
  <c r="H107" i="10"/>
  <c r="H478" i="10"/>
  <c r="I189" i="2"/>
  <c r="AA229" i="3"/>
  <c r="H24" i="8"/>
  <c r="H41" i="20"/>
  <c r="E614" i="13"/>
  <c r="E652" i="13"/>
  <c r="AA224" i="3"/>
  <c r="Z224" i="3" s="1"/>
  <c r="N28" i="19" s="1"/>
  <c r="I141" i="2"/>
  <c r="H71" i="8"/>
  <c r="I103" i="14"/>
  <c r="J329" i="10" l="1"/>
  <c r="I50" i="8" s="1"/>
  <c r="I48" i="8" s="1"/>
  <c r="J514" i="10" s="1"/>
  <c r="K496" i="10"/>
  <c r="K193" i="10"/>
  <c r="K241" i="10" s="1"/>
  <c r="I1492" i="13"/>
  <c r="I1573" i="13"/>
  <c r="J190" i="2"/>
  <c r="I24" i="8" s="1"/>
  <c r="K247" i="10"/>
  <c r="K259" i="10" s="1"/>
  <c r="J12" i="21"/>
  <c r="L29" i="10"/>
  <c r="K9" i="14" s="1"/>
  <c r="K13" i="14" s="1"/>
  <c r="H1492" i="13"/>
  <c r="K28" i="21"/>
  <c r="K11" i="21" s="1"/>
  <c r="K192" i="2" s="1"/>
  <c r="K24" i="21"/>
  <c r="K7" i="21" s="1"/>
  <c r="J70" i="14"/>
  <c r="AJ70" i="14" s="1"/>
  <c r="L18" i="10"/>
  <c r="L26" i="10" s="1"/>
  <c r="L142" i="10"/>
  <c r="L254" i="10" s="1"/>
  <c r="L242" i="10" s="1"/>
  <c r="L496" i="10" s="1"/>
  <c r="J54" i="8"/>
  <c r="J69" i="14" s="1"/>
  <c r="AJ69" i="14" s="1"/>
  <c r="K488" i="10"/>
  <c r="L136" i="10"/>
  <c r="L489" i="10" s="1"/>
  <c r="J32" i="14"/>
  <c r="AJ32" i="14" s="1"/>
  <c r="AJ31" i="14"/>
  <c r="J7" i="14"/>
  <c r="L347" i="10"/>
  <c r="K55" i="8" s="1"/>
  <c r="K54" i="8" s="1"/>
  <c r="J259" i="10"/>
  <c r="J260" i="10" s="1"/>
  <c r="J9" i="14"/>
  <c r="J10" i="14" s="1"/>
  <c r="I502" i="10"/>
  <c r="I203" i="10"/>
  <c r="I503" i="10" s="1"/>
  <c r="I260" i="10"/>
  <c r="L167" i="10"/>
  <c r="L490" i="10" s="1"/>
  <c r="J8" i="18"/>
  <c r="L20" i="21"/>
  <c r="L28" i="21" s="1"/>
  <c r="L11" i="21" s="1"/>
  <c r="K3" i="14"/>
  <c r="AK3" i="14" s="1"/>
  <c r="K31" i="14"/>
  <c r="L289" i="10" s="1"/>
  <c r="L467" i="10"/>
  <c r="L360" i="10"/>
  <c r="K60" i="8" s="1"/>
  <c r="K59" i="8" s="1"/>
  <c r="L516" i="10" s="1"/>
  <c r="L83" i="10"/>
  <c r="L99" i="10" s="1"/>
  <c r="L103" i="10" s="1"/>
  <c r="L9" i="10"/>
  <c r="K39" i="8" s="1"/>
  <c r="N8" i="10"/>
  <c r="N136" i="10" s="1"/>
  <c r="N489" i="10" s="1"/>
  <c r="O137" i="10"/>
  <c r="N140" i="10"/>
  <c r="J1492" i="13" s="1"/>
  <c r="N145" i="10"/>
  <c r="N22" i="10"/>
  <c r="Z229" i="3"/>
  <c r="Z230" i="3" s="1"/>
  <c r="AA230" i="3"/>
  <c r="M9" i="10"/>
  <c r="L39" i="8" s="1"/>
  <c r="M20" i="21"/>
  <c r="M167" i="10"/>
  <c r="M490" i="10" s="1"/>
  <c r="M83" i="10"/>
  <c r="K8" i="18"/>
  <c r="M325" i="10"/>
  <c r="M347" i="10"/>
  <c r="L55" i="8" s="1"/>
  <c r="M360" i="10"/>
  <c r="L60" i="8" s="1"/>
  <c r="L59" i="8" s="1"/>
  <c r="M467" i="10"/>
  <c r="L3" i="14"/>
  <c r="AL3" i="14" s="1"/>
  <c r="H63" i="14"/>
  <c r="AH63" i="14" s="1"/>
  <c r="I41" i="20"/>
  <c r="F652" i="13"/>
  <c r="F614" i="13"/>
  <c r="J141" i="2"/>
  <c r="E37" i="16"/>
  <c r="I214" i="13"/>
  <c r="I70" i="8"/>
  <c r="J136" i="2"/>
  <c r="AH68" i="14"/>
  <c r="H71" i="14"/>
  <c r="AH71" i="14" s="1"/>
  <c r="K4" i="21"/>
  <c r="K5" i="21" s="1"/>
  <c r="K212" i="2"/>
  <c r="I102" i="14"/>
  <c r="I106" i="14" s="1"/>
  <c r="J103" i="14"/>
  <c r="H214" i="13"/>
  <c r="AA26" i="3"/>
  <c r="Z26" i="3" s="1"/>
  <c r="H70" i="8"/>
  <c r="H123" i="10"/>
  <c r="I122" i="10"/>
  <c r="I115" i="10" s="1"/>
  <c r="I98" i="10" s="1"/>
  <c r="M18" i="10"/>
  <c r="M26" i="10" s="1"/>
  <c r="M13" i="10"/>
  <c r="I271" i="13"/>
  <c r="L328" i="10"/>
  <c r="K49" i="8"/>
  <c r="O652" i="13"/>
  <c r="Y652" i="13"/>
  <c r="K8" i="21"/>
  <c r="K190" i="2"/>
  <c r="K329" i="10"/>
  <c r="J50" i="8" s="1"/>
  <c r="J48" i="8" s="1"/>
  <c r="K334" i="10"/>
  <c r="T41" i="20"/>
  <c r="H70" i="10"/>
  <c r="Y614" i="13"/>
  <c r="O614" i="13"/>
  <c r="M142" i="10"/>
  <c r="M254" i="10" s="1"/>
  <c r="M242" i="10" s="1"/>
  <c r="M29" i="10"/>
  <c r="L9" i="14" s="1"/>
  <c r="L31" i="14"/>
  <c r="I11" i="18"/>
  <c r="K196" i="10"/>
  <c r="K209" i="10"/>
  <c r="K265" i="10"/>
  <c r="K195" i="10"/>
  <c r="K194" i="10"/>
  <c r="J24" i="8" l="1"/>
  <c r="I68" i="14"/>
  <c r="AI68" i="14" s="1"/>
  <c r="L11" i="10"/>
  <c r="J189" i="2"/>
  <c r="K16" i="14"/>
  <c r="K15" i="14"/>
  <c r="K515" i="10"/>
  <c r="K12" i="21"/>
  <c r="L27" i="10"/>
  <c r="L19" i="10"/>
  <c r="L25" i="10"/>
  <c r="L193" i="10"/>
  <c r="L241" i="10" s="1"/>
  <c r="L246" i="10"/>
  <c r="L247" i="10"/>
  <c r="L259" i="10" s="1"/>
  <c r="L202" i="10" s="1"/>
  <c r="I267" i="13"/>
  <c r="I268" i="13" s="1"/>
  <c r="J202" i="10"/>
  <c r="I33" i="8" s="1"/>
  <c r="I63" i="14" s="1"/>
  <c r="AI63" i="14" s="1"/>
  <c r="J14" i="14"/>
  <c r="K10" i="14"/>
  <c r="J13" i="14"/>
  <c r="L24" i="21"/>
  <c r="L7" i="21" s="1"/>
  <c r="L190" i="2" s="1"/>
  <c r="J15" i="14"/>
  <c r="J16" i="14"/>
  <c r="L3" i="21"/>
  <c r="L12" i="21" s="1"/>
  <c r="K7" i="14"/>
  <c r="K14" i="14" s="1"/>
  <c r="K32" i="14"/>
  <c r="AK32" i="14" s="1"/>
  <c r="AK31" i="14"/>
  <c r="L488" i="10"/>
  <c r="K70" i="14"/>
  <c r="AK70" i="14" s="1"/>
  <c r="Z30" i="3"/>
  <c r="Z32" i="3" s="1"/>
  <c r="K514" i="10"/>
  <c r="J68" i="14"/>
  <c r="I8" i="2"/>
  <c r="H79" i="14"/>
  <c r="AH79" i="14" s="1"/>
  <c r="L515" i="10"/>
  <c r="K69" i="14"/>
  <c r="AK69" i="14" s="1"/>
  <c r="M289" i="10"/>
  <c r="L7" i="14"/>
  <c r="L14" i="14" s="1"/>
  <c r="AL31" i="14"/>
  <c r="L32" i="14"/>
  <c r="AL32" i="14" s="1"/>
  <c r="M193" i="10"/>
  <c r="M496" i="10"/>
  <c r="M246" i="10"/>
  <c r="M247" i="10"/>
  <c r="J41" i="20"/>
  <c r="K141" i="2"/>
  <c r="M24" i="21"/>
  <c r="M7" i="21" s="1"/>
  <c r="M28" i="21"/>
  <c r="M11" i="21" s="1"/>
  <c r="M3" i="21"/>
  <c r="L192" i="2"/>
  <c r="Z614" i="13"/>
  <c r="P614" i="13"/>
  <c r="N13" i="10"/>
  <c r="N18" i="10"/>
  <c r="N26" i="10" s="1"/>
  <c r="U41" i="20"/>
  <c r="J267" i="13"/>
  <c r="J268" i="13" s="1"/>
  <c r="L54" i="8"/>
  <c r="M11" i="10"/>
  <c r="M19" i="10"/>
  <c r="M25" i="10"/>
  <c r="M27" i="10"/>
  <c r="J8" i="2"/>
  <c r="I79" i="14"/>
  <c r="AI79" i="14" s="1"/>
  <c r="J271" i="13"/>
  <c r="M328" i="10"/>
  <c r="L49" i="8"/>
  <c r="N142" i="10"/>
  <c r="N254" i="10" s="1"/>
  <c r="N242" i="10" s="1"/>
  <c r="N29" i="10"/>
  <c r="M9" i="14" s="1"/>
  <c r="M31" i="14"/>
  <c r="I71" i="14"/>
  <c r="AI71" i="14" s="1"/>
  <c r="P652" i="13"/>
  <c r="Z652" i="13"/>
  <c r="L329" i="10"/>
  <c r="K50" i="8" s="1"/>
  <c r="K48" i="8" s="1"/>
  <c r="L334" i="10"/>
  <c r="J122" i="10"/>
  <c r="J102" i="14"/>
  <c r="J106" i="14" s="1"/>
  <c r="K103" i="14"/>
  <c r="O8" i="10"/>
  <c r="O136" i="10" s="1"/>
  <c r="O489" i="10" s="1"/>
  <c r="O22" i="10"/>
  <c r="O140" i="10"/>
  <c r="K1492" i="13" s="1"/>
  <c r="O145" i="10"/>
  <c r="K202" i="10"/>
  <c r="K260" i="10"/>
  <c r="K189" i="2"/>
  <c r="J11" i="18"/>
  <c r="L194" i="10"/>
  <c r="L10" i="14"/>
  <c r="L13" i="14"/>
  <c r="L15" i="14"/>
  <c r="L16" i="14"/>
  <c r="J71" i="8"/>
  <c r="M99" i="10"/>
  <c r="M103" i="10" s="1"/>
  <c r="M488" i="10"/>
  <c r="M516" i="10"/>
  <c r="L70" i="14"/>
  <c r="AL70" i="14" s="1"/>
  <c r="K136" i="2"/>
  <c r="N9" i="10"/>
  <c r="M39" i="8" s="1"/>
  <c r="N20" i="21"/>
  <c r="L8" i="18"/>
  <c r="N167" i="10"/>
  <c r="N490" i="10" s="1"/>
  <c r="N83" i="10"/>
  <c r="N325" i="10"/>
  <c r="N347" i="10"/>
  <c r="M55" i="8" s="1"/>
  <c r="M54" i="8" s="1"/>
  <c r="N360" i="10"/>
  <c r="M60" i="8" s="1"/>
  <c r="M59" i="8" s="1"/>
  <c r="N467" i="10"/>
  <c r="M3" i="14"/>
  <c r="AM3" i="14" s="1"/>
  <c r="L265" i="10" l="1"/>
  <c r="L196" i="10"/>
  <c r="L209" i="10"/>
  <c r="L195" i="10"/>
  <c r="J203" i="10"/>
  <c r="J503" i="10" s="1"/>
  <c r="J502" i="10"/>
  <c r="L4" i="21"/>
  <c r="L5" i="21" s="1"/>
  <c r="L212" i="2"/>
  <c r="L103" i="14" s="1"/>
  <c r="L8" i="21"/>
  <c r="L260" i="10"/>
  <c r="M259" i="10"/>
  <c r="M260" i="10" s="1"/>
  <c r="K11" i="18"/>
  <c r="M194" i="10"/>
  <c r="M195" i="10"/>
  <c r="M196" i="10"/>
  <c r="M209" i="10"/>
  <c r="M265" i="10"/>
  <c r="J70" i="8"/>
  <c r="I116" i="10"/>
  <c r="M10" i="14"/>
  <c r="M15" i="14"/>
  <c r="M13" i="14"/>
  <c r="M16" i="14"/>
  <c r="I14" i="20"/>
  <c r="AA14" i="20" s="1"/>
  <c r="F628" i="13"/>
  <c r="E1273" i="13"/>
  <c r="O1273" i="13" s="1"/>
  <c r="F590" i="13"/>
  <c r="O29" i="10"/>
  <c r="N9" i="14" s="1"/>
  <c r="O142" i="10"/>
  <c r="O254" i="10" s="1"/>
  <c r="O242" i="10" s="1"/>
  <c r="N31" i="14"/>
  <c r="M515" i="10"/>
  <c r="L69" i="14"/>
  <c r="AL69" i="14" s="1"/>
  <c r="L136" i="2"/>
  <c r="V41" i="20"/>
  <c r="O13" i="10"/>
  <c r="O18" i="10"/>
  <c r="O26" i="10" s="1"/>
  <c r="M4" i="21"/>
  <c r="M212" i="2"/>
  <c r="L502" i="10"/>
  <c r="K33" i="8"/>
  <c r="L203" i="10"/>
  <c r="L503" i="10" s="1"/>
  <c r="N24" i="21"/>
  <c r="N7" i="21" s="1"/>
  <c r="N28" i="21"/>
  <c r="N11" i="21" s="1"/>
  <c r="N3" i="21"/>
  <c r="N193" i="10"/>
  <c r="N241" i="10" s="1"/>
  <c r="N496" i="10"/>
  <c r="N246" i="10"/>
  <c r="N247" i="10"/>
  <c r="N11" i="10"/>
  <c r="N19" i="10"/>
  <c r="N25" i="10"/>
  <c r="N27" i="10"/>
  <c r="N516" i="10"/>
  <c r="M70" i="14"/>
  <c r="AM70" i="14" s="1"/>
  <c r="M8" i="18"/>
  <c r="O83" i="10"/>
  <c r="O167" i="10"/>
  <c r="O490" i="10" s="1"/>
  <c r="O9" i="10"/>
  <c r="N39" i="8" s="1"/>
  <c r="O20" i="21"/>
  <c r="O325" i="10"/>
  <c r="O347" i="10"/>
  <c r="N55" i="8" s="1"/>
  <c r="N54" i="8" s="1"/>
  <c r="O360" i="10"/>
  <c r="N60" i="8" s="1"/>
  <c r="N59" i="8" s="1"/>
  <c r="O467" i="10"/>
  <c r="N3" i="14"/>
  <c r="AN3" i="14" s="1"/>
  <c r="M329" i="10"/>
  <c r="L50" i="8" s="1"/>
  <c r="L48" i="8" s="1"/>
  <c r="M334" i="10"/>
  <c r="M12" i="21"/>
  <c r="M192" i="2"/>
  <c r="H14" i="20"/>
  <c r="Z14" i="20" s="1"/>
  <c r="E590" i="13"/>
  <c r="D1273" i="13"/>
  <c r="N1273" i="13" s="1"/>
  <c r="E628" i="13"/>
  <c r="AA25" i="3"/>
  <c r="Z25" i="3" s="1"/>
  <c r="L189" i="2"/>
  <c r="M8" i="21"/>
  <c r="M190" i="2"/>
  <c r="L24" i="8" s="1"/>
  <c r="AJ68" i="14"/>
  <c r="J71" i="14"/>
  <c r="AJ71" i="14" s="1"/>
  <c r="L514" i="10"/>
  <c r="K68" i="14"/>
  <c r="K102" i="14"/>
  <c r="K106" i="14" s="1"/>
  <c r="N328" i="10"/>
  <c r="M49" i="8"/>
  <c r="M241" i="10"/>
  <c r="N515" i="10"/>
  <c r="M69" i="14"/>
  <c r="AM69" i="14" s="1"/>
  <c r="K24" i="8"/>
  <c r="N99" i="10"/>
  <c r="N103" i="10" s="1"/>
  <c r="N488" i="10"/>
  <c r="K203" i="10"/>
  <c r="K503" i="10" s="1"/>
  <c r="K502" i="10"/>
  <c r="J33" i="8"/>
  <c r="J78" i="8" s="1"/>
  <c r="J115" i="10"/>
  <c r="K122" i="10"/>
  <c r="N289" i="10"/>
  <c r="M7" i="14"/>
  <c r="M14" i="14" s="1"/>
  <c r="AM31" i="14"/>
  <c r="M32" i="14"/>
  <c r="AM32" i="14" s="1"/>
  <c r="K41" i="20" l="1"/>
  <c r="K71" i="8"/>
  <c r="K70" i="8" s="1"/>
  <c r="L141" i="2"/>
  <c r="L71" i="8"/>
  <c r="L70" i="8" s="1"/>
  <c r="L41" i="20"/>
  <c r="X41" i="20" s="1"/>
  <c r="W41" i="20"/>
  <c r="M5" i="21"/>
  <c r="M202" i="10"/>
  <c r="M502" i="10" s="1"/>
  <c r="J80" i="14"/>
  <c r="AJ80" i="14" s="1"/>
  <c r="K10" i="2"/>
  <c r="N259" i="10"/>
  <c r="N202" i="10" s="1"/>
  <c r="P628" i="13"/>
  <c r="Z628" i="13"/>
  <c r="Y590" i="13"/>
  <c r="O590" i="13"/>
  <c r="O516" i="10"/>
  <c r="N70" i="14"/>
  <c r="AN70" i="14" s="1"/>
  <c r="N12" i="21"/>
  <c r="N192" i="2"/>
  <c r="I12" i="20"/>
  <c r="U14" i="20"/>
  <c r="N8" i="21"/>
  <c r="N190" i="2"/>
  <c r="M24" i="8" s="1"/>
  <c r="J63" i="14"/>
  <c r="AJ63" i="14" s="1"/>
  <c r="N10" i="14"/>
  <c r="N15" i="14"/>
  <c r="N13" i="14"/>
  <c r="N16" i="14"/>
  <c r="AK68" i="14"/>
  <c r="K71" i="14"/>
  <c r="AK71" i="14" s="1"/>
  <c r="M136" i="2"/>
  <c r="O328" i="10"/>
  <c r="N49" i="8"/>
  <c r="M189" i="2"/>
  <c r="K63" i="14"/>
  <c r="AK63" i="14" s="1"/>
  <c r="K78" i="8"/>
  <c r="O515" i="10"/>
  <c r="N69" i="14"/>
  <c r="AN69" i="14" s="1"/>
  <c r="O289" i="10"/>
  <c r="N32" i="14"/>
  <c r="AN32" i="14" s="1"/>
  <c r="N7" i="14"/>
  <c r="N14" i="14" s="1"/>
  <c r="AN31" i="14"/>
  <c r="N4" i="21"/>
  <c r="N5" i="21" s="1"/>
  <c r="N212" i="2"/>
  <c r="M71" i="8" s="1"/>
  <c r="O11" i="10"/>
  <c r="O25" i="10"/>
  <c r="O27" i="10"/>
  <c r="O19" i="10"/>
  <c r="I100" i="10"/>
  <c r="I106" i="10"/>
  <c r="H49" i="14"/>
  <c r="O3" i="21"/>
  <c r="O24" i="21"/>
  <c r="O7" i="21" s="1"/>
  <c r="O28" i="21"/>
  <c r="O11" i="21" s="1"/>
  <c r="K115" i="10"/>
  <c r="L122" i="10"/>
  <c r="N329" i="10"/>
  <c r="M50" i="8" s="1"/>
  <c r="M48" i="8" s="1"/>
  <c r="N334" i="10"/>
  <c r="M514" i="10"/>
  <c r="L68" i="14"/>
  <c r="M141" i="2"/>
  <c r="Z590" i="13"/>
  <c r="P590" i="13"/>
  <c r="K8" i="2"/>
  <c r="J79" i="14"/>
  <c r="AJ79" i="14" s="1"/>
  <c r="L8" i="2"/>
  <c r="K14" i="20" s="1"/>
  <c r="K79" i="14"/>
  <c r="AK79" i="14" s="1"/>
  <c r="H12" i="20"/>
  <c r="T14" i="20"/>
  <c r="AA29" i="3"/>
  <c r="AA225" i="3"/>
  <c r="N9" i="19"/>
  <c r="N26" i="19" s="1"/>
  <c r="J98" i="10"/>
  <c r="J116" i="10"/>
  <c r="L102" i="14"/>
  <c r="L106" i="14" s="1"/>
  <c r="M103" i="14"/>
  <c r="O628" i="13"/>
  <c r="Y628" i="13"/>
  <c r="O99" i="10"/>
  <c r="O103" i="10" s="1"/>
  <c r="O488" i="10"/>
  <c r="L11" i="18"/>
  <c r="N194" i="10"/>
  <c r="N195" i="10"/>
  <c r="N196" i="10"/>
  <c r="N209" i="10"/>
  <c r="N265" i="10"/>
  <c r="O193" i="10"/>
  <c r="O241" i="10" s="1"/>
  <c r="O496" i="10"/>
  <c r="O246" i="10"/>
  <c r="O247" i="10"/>
  <c r="M203" i="10" l="1"/>
  <c r="M503" i="10" s="1"/>
  <c r="L33" i="8"/>
  <c r="K12" i="20"/>
  <c r="W14" i="20"/>
  <c r="N260" i="10"/>
  <c r="F1274" i="13"/>
  <c r="P1274" i="13" s="1"/>
  <c r="J16" i="20"/>
  <c r="O259" i="10"/>
  <c r="O202" i="10" s="1"/>
  <c r="M70" i="8"/>
  <c r="O12" i="21"/>
  <c r="O192" i="2"/>
  <c r="Z29" i="3"/>
  <c r="Z31" i="3" s="1"/>
  <c r="Z225" i="3"/>
  <c r="AL68" i="14"/>
  <c r="L71" i="14"/>
  <c r="AL71" i="14" s="1"/>
  <c r="O8" i="21"/>
  <c r="O190" i="2"/>
  <c r="O189" i="2" s="1"/>
  <c r="O329" i="10"/>
  <c r="N50" i="8" s="1"/>
  <c r="N48" i="8" s="1"/>
  <c r="O334" i="10"/>
  <c r="O194" i="10"/>
  <c r="O195" i="10"/>
  <c r="O196" i="10"/>
  <c r="M11" i="18"/>
  <c r="O209" i="10"/>
  <c r="O265" i="10"/>
  <c r="O4" i="21"/>
  <c r="O5" i="21" s="1"/>
  <c r="O212" i="2"/>
  <c r="N71" i="8" s="1"/>
  <c r="AH49" i="14"/>
  <c r="N203" i="10"/>
  <c r="N503" i="10" s="1"/>
  <c r="N502" i="10"/>
  <c r="M33" i="8"/>
  <c r="N141" i="2"/>
  <c r="M8" i="2"/>
  <c r="L14" i="20" s="1"/>
  <c r="X14" i="20" s="1"/>
  <c r="L79" i="14"/>
  <c r="AL79" i="14" s="1"/>
  <c r="K98" i="10"/>
  <c r="K116" i="10"/>
  <c r="L10" i="2"/>
  <c r="K16" i="20" s="1"/>
  <c r="W16" i="20" s="1"/>
  <c r="K80" i="14"/>
  <c r="AK80" i="14" s="1"/>
  <c r="L63" i="14"/>
  <c r="AL63" i="14" s="1"/>
  <c r="L78" i="8"/>
  <c r="J100" i="10"/>
  <c r="J106" i="10"/>
  <c r="I49" i="14"/>
  <c r="F1273" i="13"/>
  <c r="P1273" i="13" s="1"/>
  <c r="J14" i="20"/>
  <c r="AB14" i="20" s="1"/>
  <c r="N514" i="10"/>
  <c r="M68" i="14"/>
  <c r="I107" i="10"/>
  <c r="I478" i="10"/>
  <c r="N189" i="2"/>
  <c r="N136" i="2"/>
  <c r="M102" i="14"/>
  <c r="M106" i="14" s="1"/>
  <c r="N103" i="14"/>
  <c r="M122" i="10"/>
  <c r="L115" i="10"/>
  <c r="L12" i="20" l="1"/>
  <c r="V16" i="20"/>
  <c r="AB16" i="20"/>
  <c r="O260" i="10"/>
  <c r="L1245" i="13"/>
  <c r="K100" i="10"/>
  <c r="K106" i="10"/>
  <c r="J49" i="14"/>
  <c r="L98" i="10"/>
  <c r="L116" i="10"/>
  <c r="M115" i="10"/>
  <c r="N122" i="10"/>
  <c r="AM68" i="14"/>
  <c r="M71" i="14"/>
  <c r="AM71" i="14" s="1"/>
  <c r="AI49" i="14"/>
  <c r="O514" i="10"/>
  <c r="N68" i="14"/>
  <c r="M78" i="8"/>
  <c r="M63" i="14"/>
  <c r="AM63" i="14" s="1"/>
  <c r="O136" i="2"/>
  <c r="M10" i="2"/>
  <c r="L16" i="20" s="1"/>
  <c r="X16" i="20" s="1"/>
  <c r="L80" i="14"/>
  <c r="AL80" i="14" s="1"/>
  <c r="O203" i="10"/>
  <c r="O503" i="10" s="1"/>
  <c r="O502" i="10"/>
  <c r="N33" i="8"/>
  <c r="N24" i="8"/>
  <c r="J107" i="10"/>
  <c r="J478" i="10"/>
  <c r="N102" i="14"/>
  <c r="N106" i="14" s="1"/>
  <c r="O103" i="14"/>
  <c r="O102" i="14" s="1"/>
  <c r="O106" i="14" s="1"/>
  <c r="N8" i="2"/>
  <c r="M79" i="14"/>
  <c r="AM79" i="14" s="1"/>
  <c r="V14" i="20"/>
  <c r="J12" i="20"/>
  <c r="N70" i="8"/>
  <c r="O141" i="2"/>
  <c r="L1246" i="13" l="1"/>
  <c r="D1233" i="13"/>
  <c r="L106" i="10"/>
  <c r="K49" i="14"/>
  <c r="L100" i="10"/>
  <c r="AN68" i="14"/>
  <c r="N71" i="14"/>
  <c r="AN71" i="14" s="1"/>
  <c r="N78" i="8"/>
  <c r="N63" i="14"/>
  <c r="AN63" i="14" s="1"/>
  <c r="N10" i="2"/>
  <c r="M80" i="14"/>
  <c r="AM80" i="14" s="1"/>
  <c r="O122" i="10"/>
  <c r="O115" i="10" s="1"/>
  <c r="N115" i="10"/>
  <c r="AJ49" i="14"/>
  <c r="M98" i="10"/>
  <c r="M116" i="10"/>
  <c r="O8" i="2"/>
  <c r="N79" i="14"/>
  <c r="AN79" i="14" s="1"/>
  <c r="K107" i="10"/>
  <c r="K478" i="10"/>
  <c r="L478" i="10" l="1"/>
  <c r="L107" i="10"/>
  <c r="M100" i="10"/>
  <c r="M106" i="10"/>
  <c r="L49" i="14"/>
  <c r="N98" i="10"/>
  <c r="N116" i="10"/>
  <c r="O98" i="10"/>
  <c r="O116" i="10"/>
  <c r="O10" i="2"/>
  <c r="N80" i="14"/>
  <c r="AN80" i="14" s="1"/>
  <c r="AK49" i="14"/>
  <c r="AL49" i="14" l="1"/>
  <c r="M107" i="10"/>
  <c r="M478" i="10"/>
  <c r="O100" i="10"/>
  <c r="O106" i="10"/>
  <c r="N49" i="14"/>
  <c r="N100" i="10"/>
  <c r="N106" i="10"/>
  <c r="M49" i="14"/>
  <c r="AN49" i="14" l="1"/>
  <c r="O107" i="10"/>
  <c r="O478" i="10"/>
  <c r="N107" i="10"/>
  <c r="N478" i="10"/>
  <c r="AM49" i="14"/>
  <c r="G33" i="8"/>
  <c r="V15" i="3" s="1"/>
  <c r="U15" i="3" s="1"/>
  <c r="U352" i="3" s="1"/>
  <c r="U349" i="3" s="1"/>
  <c r="U350" i="3" s="1"/>
  <c r="G45" i="14"/>
  <c r="AG45" i="14" s="1"/>
  <c r="G51" i="14"/>
  <c r="G31" i="8" l="1"/>
  <c r="G63" i="14"/>
  <c r="AG63" i="14" s="1"/>
  <c r="U16" i="3"/>
  <c r="U366" i="3"/>
  <c r="AG51" i="14"/>
  <c r="H6" i="2" l="1"/>
  <c r="C15" i="15" s="1"/>
  <c r="G4" i="8"/>
  <c r="H513" i="10"/>
  <c r="U365" i="3"/>
  <c r="V366" i="3"/>
  <c r="H45" i="14"/>
  <c r="H518" i="10" l="1"/>
  <c r="H521" i="10" s="1"/>
  <c r="H527" i="10" s="1"/>
  <c r="D625" i="13"/>
  <c r="V14" i="3"/>
  <c r="V365" i="3" s="1"/>
  <c r="D587" i="13"/>
  <c r="C1271" i="13"/>
  <c r="M1271" i="13" s="1"/>
  <c r="G65" i="14"/>
  <c r="AG65" i="14" s="1"/>
  <c r="H4" i="2"/>
  <c r="C13" i="15" s="1"/>
  <c r="E843" i="13"/>
  <c r="G5" i="8"/>
  <c r="AA366" i="3"/>
  <c r="V367" i="3"/>
  <c r="V375" i="3"/>
  <c r="AH45" i="14"/>
  <c r="H16" i="10" l="1"/>
  <c r="H14" i="2"/>
  <c r="N587" i="13"/>
  <c r="X587" i="13"/>
  <c r="N625" i="13"/>
  <c r="X625" i="13"/>
  <c r="H23" i="2"/>
  <c r="V6" i="3"/>
  <c r="H173" i="2"/>
  <c r="H175" i="2" s="1"/>
  <c r="F2" i="18"/>
  <c r="F9" i="18" s="1"/>
  <c r="H27" i="2"/>
  <c r="H15" i="2"/>
  <c r="C16" i="15" s="1"/>
  <c r="D584" i="13"/>
  <c r="H125" i="2"/>
  <c r="H26" i="5"/>
  <c r="J4" i="15" s="1"/>
  <c r="G73" i="14"/>
  <c r="G86" i="8"/>
  <c r="F3" i="18"/>
  <c r="F62" i="13"/>
  <c r="F63" i="13" s="1"/>
  <c r="D622" i="13"/>
  <c r="H58" i="2"/>
  <c r="C1268" i="13"/>
  <c r="H9" i="2"/>
  <c r="E864" i="13"/>
  <c r="H32" i="2"/>
  <c r="H522" i="10"/>
  <c r="H523" i="10"/>
  <c r="H524" i="10"/>
  <c r="AA375" i="3"/>
  <c r="AA367" i="3"/>
  <c r="AG73" i="14" l="1"/>
  <c r="G74" i="14"/>
  <c r="AG74" i="14" s="1"/>
  <c r="G76" i="14"/>
  <c r="V81" i="3"/>
  <c r="V33" i="3"/>
  <c r="V72" i="3"/>
  <c r="V78" i="3"/>
  <c r="V69" i="3"/>
  <c r="V84" i="3"/>
  <c r="M1268" i="13"/>
  <c r="C1279" i="13"/>
  <c r="M1279" i="13" s="1"/>
  <c r="H24" i="2"/>
  <c r="I23" i="2"/>
  <c r="J23" i="2" s="1"/>
  <c r="K23" i="2" s="1"/>
  <c r="L23" i="2" s="1"/>
  <c r="M23" i="2" s="1"/>
  <c r="N23" i="2" s="1"/>
  <c r="O23" i="2" s="1"/>
  <c r="X622" i="13"/>
  <c r="D636" i="13"/>
  <c r="N622" i="13"/>
  <c r="D598" i="13"/>
  <c r="X584" i="13"/>
  <c r="N584" i="13"/>
  <c r="V59" i="3"/>
  <c r="V60" i="3" s="1"/>
  <c r="Z120" i="19" s="1"/>
  <c r="D596" i="13"/>
  <c r="N596" i="13" s="1"/>
  <c r="H16" i="2"/>
  <c r="C17" i="15" s="1"/>
  <c r="G82" i="14"/>
  <c r="AG82" i="14" s="1"/>
  <c r="H27" i="5"/>
  <c r="J5" i="15" s="1"/>
  <c r="F4" i="18"/>
  <c r="D634" i="13"/>
  <c r="N634" i="13" s="1"/>
  <c r="H47" i="2"/>
  <c r="H53" i="2"/>
  <c r="H528" i="10"/>
  <c r="H28" i="2"/>
  <c r="I27" i="2"/>
  <c r="J27" i="2" s="1"/>
  <c r="K27" i="2" s="1"/>
  <c r="L27" i="2" s="1"/>
  <c r="M27" i="2" s="1"/>
  <c r="N27" i="2" s="1"/>
  <c r="O27" i="2" s="1"/>
  <c r="C27" i="20" l="1"/>
  <c r="C20" i="15"/>
  <c r="E868" i="13"/>
  <c r="F43" i="22"/>
  <c r="X636" i="13"/>
  <c r="N636" i="13"/>
  <c r="C1281" i="13"/>
  <c r="M1281" i="13" s="1"/>
  <c r="V90" i="3"/>
  <c r="V93" i="3" s="1"/>
  <c r="G86" i="14"/>
  <c r="AG86" i="14" s="1"/>
  <c r="H62" i="2"/>
  <c r="H92" i="2" s="1"/>
  <c r="H97" i="2" s="1"/>
  <c r="H98" i="2" s="1"/>
  <c r="H28" i="5"/>
  <c r="D602" i="13"/>
  <c r="D640" i="13"/>
  <c r="H48" i="2"/>
  <c r="H50" i="2"/>
  <c r="F5" i="18" s="1"/>
  <c r="G77" i="14"/>
  <c r="AG77" i="14" s="1"/>
  <c r="AG76" i="14"/>
  <c r="N598" i="13"/>
  <c r="X598" i="13"/>
  <c r="H93" i="2" l="1"/>
  <c r="C29" i="20"/>
  <c r="C21" i="15"/>
  <c r="J6" i="15" s="1"/>
  <c r="X640" i="13"/>
  <c r="N640" i="13"/>
  <c r="X602" i="13"/>
  <c r="N602" i="13"/>
  <c r="H80" i="2"/>
  <c r="G88" i="14"/>
  <c r="AG88" i="14" s="1"/>
  <c r="H124" i="2"/>
  <c r="H123" i="2" s="1"/>
  <c r="H122" i="2" s="1"/>
  <c r="H168" i="2" s="1"/>
  <c r="H38" i="5"/>
  <c r="D604" i="13"/>
  <c r="C1283" i="13"/>
  <c r="M1283" i="13" s="1"/>
  <c r="H81" i="2"/>
  <c r="C22" i="15" s="1"/>
  <c r="F6" i="18"/>
  <c r="H30" i="5"/>
  <c r="F3" i="22" s="1"/>
  <c r="D642" i="13"/>
  <c r="H63" i="2"/>
  <c r="G89" i="14" s="1"/>
  <c r="V99" i="3"/>
  <c r="V100" i="3" s="1"/>
  <c r="H32" i="5"/>
  <c r="F19" i="22" s="1"/>
  <c r="H34" i="5"/>
  <c r="F27" i="22" s="1"/>
  <c r="F6" i="17"/>
  <c r="X642" i="13" l="1"/>
  <c r="N642" i="13"/>
  <c r="H171" i="2"/>
  <c r="I169" i="2" s="1"/>
  <c r="X604" i="13"/>
  <c r="N604" i="13"/>
  <c r="H177" i="2" l="1"/>
  <c r="H65" i="2" l="1"/>
  <c r="H31" i="5"/>
  <c r="D612" i="13"/>
  <c r="N612" i="13" s="1"/>
  <c r="D650" i="13"/>
  <c r="N650" i="13" s="1"/>
  <c r="C1291" i="13"/>
  <c r="M1291" i="13" s="1"/>
  <c r="G64" i="8"/>
  <c r="H46" i="8"/>
  <c r="I65" i="2" l="1"/>
  <c r="J65" i="2" s="1"/>
  <c r="K65" i="2" s="1"/>
  <c r="L65" i="2" s="1"/>
  <c r="M65" i="2" s="1"/>
  <c r="N65" i="2" s="1"/>
  <c r="O65" i="2" s="1"/>
  <c r="E612" i="13"/>
  <c r="O612" i="13" s="1"/>
  <c r="E650" i="13"/>
  <c r="O650" i="13" s="1"/>
  <c r="D1291" i="13"/>
  <c r="N1291" i="13" s="1"/>
  <c r="H43" i="8"/>
  <c r="H38" i="8" s="1"/>
  <c r="I64" i="8"/>
  <c r="J64" i="8" l="1"/>
  <c r="I46" i="8"/>
  <c r="H64" i="14"/>
  <c r="AH64" i="14" s="1"/>
  <c r="H31" i="8"/>
  <c r="AA16" i="3"/>
  <c r="Z16" i="3" s="1"/>
  <c r="I6" i="2" l="1"/>
  <c r="D15" i="15" s="1"/>
  <c r="H7" i="20"/>
  <c r="Z7" i="20" s="1"/>
  <c r="F612" i="13"/>
  <c r="P612" i="13" s="1"/>
  <c r="F650" i="13"/>
  <c r="P650" i="13" s="1"/>
  <c r="E1291" i="13"/>
  <c r="O1291" i="13" s="1"/>
  <c r="I43" i="8"/>
  <c r="I38" i="8" s="1"/>
  <c r="K64" i="8"/>
  <c r="J46" i="8"/>
  <c r="T7" i="20" l="1"/>
  <c r="F1291" i="13"/>
  <c r="P1291" i="13" s="1"/>
  <c r="J43" i="8"/>
  <c r="J38" i="8" s="1"/>
  <c r="E587" i="13"/>
  <c r="E625" i="13"/>
  <c r="D1271" i="13"/>
  <c r="N1271" i="13" s="1"/>
  <c r="H65" i="14"/>
  <c r="AH65" i="14" s="1"/>
  <c r="AA14" i="3"/>
  <c r="Z14" i="3" s="1"/>
  <c r="I31" i="8"/>
  <c r="I64" i="14"/>
  <c r="AI64" i="14" s="1"/>
  <c r="L64" i="8"/>
  <c r="K46" i="8"/>
  <c r="K43" i="8" s="1"/>
  <c r="K38" i="8" s="1"/>
  <c r="L46" i="8" l="1"/>
  <c r="L43" i="8" s="1"/>
  <c r="L38" i="8" s="1"/>
  <c r="M64" i="8"/>
  <c r="J31" i="8"/>
  <c r="J64" i="14"/>
  <c r="AJ64" i="14" s="1"/>
  <c r="N7" i="19"/>
  <c r="AA365" i="3"/>
  <c r="O587" i="13"/>
  <c r="Y587" i="13"/>
  <c r="O625" i="13"/>
  <c r="Y625" i="13"/>
  <c r="I7" i="20"/>
  <c r="AA7" i="20" s="1"/>
  <c r="J6" i="2"/>
  <c r="E15" i="15" s="1"/>
  <c r="K31" i="8"/>
  <c r="K7" i="20" s="1"/>
  <c r="K64" i="14"/>
  <c r="AK64" i="14" s="1"/>
  <c r="W7" i="20" l="1"/>
  <c r="F587" i="13"/>
  <c r="F625" i="13"/>
  <c r="E1271" i="13"/>
  <c r="O1271" i="13" s="1"/>
  <c r="I65" i="14"/>
  <c r="AI65" i="14" s="1"/>
  <c r="Z55" i="3"/>
  <c r="Z365" i="3"/>
  <c r="Z366" i="3" s="1"/>
  <c r="U7" i="20"/>
  <c r="L6" i="2"/>
  <c r="J7" i="20"/>
  <c r="AB7" i="20" s="1"/>
  <c r="K6" i="2"/>
  <c r="F15" i="15" s="1"/>
  <c r="G15" i="15" s="1"/>
  <c r="M46" i="8"/>
  <c r="M43" i="8" s="1"/>
  <c r="M38" i="8" s="1"/>
  <c r="N64" i="8"/>
  <c r="N46" i="8" s="1"/>
  <c r="N43" i="8" s="1"/>
  <c r="N38" i="8" s="1"/>
  <c r="L31" i="8"/>
  <c r="L7" i="20" s="1"/>
  <c r="X7" i="20" s="1"/>
  <c r="L64" i="14"/>
  <c r="AL64" i="14" s="1"/>
  <c r="N64" i="14" l="1"/>
  <c r="AN64" i="14" s="1"/>
  <c r="N31" i="8"/>
  <c r="F1271" i="13"/>
  <c r="P1271" i="13" s="1"/>
  <c r="J65" i="14"/>
  <c r="AJ65" i="14" s="1"/>
  <c r="V7" i="20"/>
  <c r="Z367" i="3"/>
  <c r="Z375" i="3"/>
  <c r="P587" i="13"/>
  <c r="Z587" i="13"/>
  <c r="M64" i="14"/>
  <c r="AM64" i="14" s="1"/>
  <c r="M31" i="8"/>
  <c r="M6" i="2"/>
  <c r="K65" i="14"/>
  <c r="AK65" i="14" s="1"/>
  <c r="P625" i="13"/>
  <c r="Z625" i="13"/>
  <c r="L65" i="14" l="1"/>
  <c r="AL65" i="14" s="1"/>
  <c r="O6" i="2"/>
  <c r="N6" i="2"/>
  <c r="N65" i="14" l="1"/>
  <c r="AN65" i="14" s="1"/>
  <c r="M65" i="14"/>
  <c r="AM65" i="14" s="1"/>
  <c r="H215" i="10" l="1"/>
  <c r="H223" i="10" s="1"/>
  <c r="H224" i="10" s="1"/>
  <c r="H216" i="10"/>
  <c r="H233" i="10" s="1"/>
  <c r="H217" i="10"/>
  <c r="H234" i="10" s="1"/>
  <c r="H226" i="10"/>
  <c r="H236" i="10"/>
  <c r="H495" i="10"/>
  <c r="H105" i="14"/>
  <c r="H104" i="14" s="1"/>
  <c r="H106" i="14" s="1"/>
  <c r="H114" i="14" s="1"/>
  <c r="H232" i="10" l="1"/>
  <c r="H120" i="14"/>
  <c r="H122" i="14" s="1"/>
  <c r="H131" i="14"/>
  <c r="D450" i="13"/>
  <c r="D451" i="13" s="1"/>
  <c r="W245" i="3" l="1"/>
  <c r="L1443" i="13" s="1"/>
  <c r="W246" i="3"/>
  <c r="L1454" i="13" s="1"/>
  <c r="L1455" i="13" s="1"/>
  <c r="L1448" i="13" l="1"/>
  <c r="L1444" i="13"/>
  <c r="AE346" i="19"/>
  <c r="W417" i="3"/>
  <c r="AE337" i="19"/>
  <c r="W416" i="3"/>
  <c r="W22" i="3"/>
  <c r="K1419" i="13" s="1"/>
  <c r="W259" i="3"/>
  <c r="W248" i="3"/>
  <c r="W394" i="3" s="1"/>
  <c r="Q459" i="19" s="1"/>
  <c r="W258" i="3"/>
  <c r="K950" i="13"/>
  <c r="W286" i="3"/>
  <c r="W280" i="3" s="1"/>
  <c r="K949" i="13"/>
  <c r="W285" i="3"/>
  <c r="W279" i="3" s="1"/>
  <c r="W21" i="3"/>
  <c r="K1418" i="13" s="1"/>
  <c r="K34" i="19"/>
  <c r="P35" i="19" s="1"/>
  <c r="W273" i="3"/>
  <c r="K1299" i="13" s="1"/>
  <c r="W274" i="3"/>
  <c r="K1300" i="13" s="1"/>
  <c r="W276" i="3"/>
  <c r="K35" i="19" s="1"/>
  <c r="W277" i="3"/>
  <c r="X41" i="3" l="1"/>
  <c r="W393" i="3"/>
  <c r="Q452" i="19" s="1"/>
  <c r="Q453" i="19" s="1"/>
  <c r="W18" i="3"/>
  <c r="K29" i="19"/>
  <c r="L25" i="19" s="1"/>
  <c r="W41" i="3"/>
  <c r="AF339" i="19"/>
  <c r="AF338" i="19"/>
  <c r="AG337" i="19"/>
  <c r="AE334" i="19"/>
  <c r="AG334" i="19" s="1"/>
  <c r="AE379" i="19"/>
  <c r="AE381" i="19"/>
  <c r="W254" i="3"/>
  <c r="W415" i="3"/>
  <c r="W288" i="3"/>
  <c r="W282" i="3" s="1"/>
  <c r="AF348" i="19"/>
  <c r="AF347" i="19"/>
  <c r="AE343" i="19"/>
  <c r="AG343" i="19" s="1"/>
  <c r="AG346" i="19"/>
  <c r="AE380" i="19"/>
  <c r="T34" i="19"/>
  <c r="H1370" i="13" l="1"/>
  <c r="I1370" i="13"/>
  <c r="H1366" i="13"/>
  <c r="I1366" i="13"/>
  <c r="W261" i="3"/>
  <c r="Q448" i="19"/>
  <c r="AF340" i="19"/>
  <c r="K25" i="19"/>
  <c r="K30" i="19"/>
  <c r="AF349" i="19"/>
  <c r="W425" i="3"/>
  <c r="I1367" i="13" l="1"/>
  <c r="I1368" i="13" s="1"/>
  <c r="H1367" i="13"/>
  <c r="H1368" i="13" s="1"/>
  <c r="I1371" i="13"/>
  <c r="I1372" i="13" s="1"/>
  <c r="H1371" i="13"/>
  <c r="H1372" i="13" s="1"/>
  <c r="Q449" i="19"/>
  <c r="Q460" i="19"/>
  <c r="Q461" i="19"/>
  <c r="R461" i="19"/>
  <c r="Q455" i="19"/>
  <c r="Q454" i="19"/>
  <c r="W426" i="3"/>
  <c r="W435" i="3"/>
  <c r="L949" i="13"/>
  <c r="L950" i="13"/>
  <c r="W436" i="3" l="1"/>
  <c r="Y422" i="3" l="1"/>
  <c r="Z426" i="3" l="1"/>
  <c r="Y436" i="3"/>
  <c r="Z436" i="3" l="1"/>
  <c r="Z23" i="3"/>
  <c r="L956" i="13" l="1"/>
  <c r="L957" i="13" l="1"/>
  <c r="F90" i="8" l="1"/>
  <c r="F108" i="8" s="1"/>
  <c r="F109" i="8" s="1"/>
  <c r="G90" i="8"/>
  <c r="G108" i="8" s="1"/>
  <c r="G109" i="8" s="1"/>
  <c r="H109" i="8" s="1"/>
  <c r="G95" i="8"/>
  <c r="G99" i="8" s="1"/>
  <c r="H95" i="8"/>
  <c r="G96" i="8"/>
  <c r="G100" i="8" s="1"/>
  <c r="H96" i="8"/>
  <c r="H92" i="8" s="1"/>
  <c r="F99" i="8"/>
  <c r="F103" i="8" s="1"/>
  <c r="F100" i="8"/>
  <c r="F130" i="8" s="1"/>
  <c r="F132" i="8" s="1"/>
  <c r="F134" i="8" s="1"/>
  <c r="G124" i="8"/>
  <c r="H124" i="8"/>
  <c r="G131" i="8"/>
  <c r="H131" i="8"/>
  <c r="H132" i="8" s="1"/>
  <c r="H134" i="8" s="1"/>
  <c r="G94" i="8" l="1"/>
  <c r="G98" i="8" s="1"/>
  <c r="F104" i="8"/>
  <c r="H94" i="8"/>
  <c r="I109" i="8"/>
  <c r="H108" i="8"/>
  <c r="F98" i="8"/>
  <c r="F102" i="8" s="1"/>
  <c r="G123" i="8"/>
  <c r="G125" i="8" s="1"/>
  <c r="G127" i="8" s="1"/>
  <c r="H99" i="8"/>
  <c r="H98" i="8" s="1"/>
  <c r="G103" i="8"/>
  <c r="I96" i="8"/>
  <c r="I92" i="8" s="1"/>
  <c r="I131" i="8"/>
  <c r="I132" i="8" s="1"/>
  <c r="I134" i="8" s="1"/>
  <c r="G130" i="8"/>
  <c r="G132" i="8" s="1"/>
  <c r="G134" i="8" s="1"/>
  <c r="G104" i="8"/>
  <c r="H104" i="8"/>
  <c r="F123" i="8"/>
  <c r="F125" i="8" s="1"/>
  <c r="F127" i="8" s="1"/>
  <c r="F137" i="8" s="1"/>
  <c r="G102" i="8" l="1"/>
  <c r="J109" i="8"/>
  <c r="I108" i="8"/>
  <c r="J96" i="8"/>
  <c r="J92" i="8" s="1"/>
  <c r="J131" i="8"/>
  <c r="J132" i="8" s="1"/>
  <c r="J134" i="8" s="1"/>
  <c r="H102" i="8"/>
  <c r="H91" i="8"/>
  <c r="H123" i="8"/>
  <c r="H125" i="8" s="1"/>
  <c r="H127" i="8" s="1"/>
  <c r="I99" i="8"/>
  <c r="J99" i="8" s="1"/>
  <c r="J123" i="8" s="1"/>
  <c r="H103" i="8"/>
  <c r="G137" i="8"/>
  <c r="H136" i="8" l="1"/>
  <c r="H84" i="8" s="1"/>
  <c r="I12" i="2" s="1"/>
  <c r="Z43" i="3"/>
  <c r="K109" i="8"/>
  <c r="J108" i="8"/>
  <c r="K131" i="8"/>
  <c r="K132" i="8" s="1"/>
  <c r="K134" i="8" s="1"/>
  <c r="K96" i="8"/>
  <c r="K92" i="8" s="1"/>
  <c r="H81" i="14"/>
  <c r="AH81" i="14" s="1"/>
  <c r="I98" i="8"/>
  <c r="I102" i="8" s="1"/>
  <c r="I123" i="8"/>
  <c r="I103" i="8"/>
  <c r="I95" i="8"/>
  <c r="H90" i="8"/>
  <c r="I94" i="8" s="1"/>
  <c r="I91" i="8"/>
  <c r="I90" i="8" s="1"/>
  <c r="I124" i="8"/>
  <c r="H69" i="8" l="1"/>
  <c r="L109" i="8"/>
  <c r="K108" i="8"/>
  <c r="L131" i="8"/>
  <c r="L132" i="8" s="1"/>
  <c r="L134" i="8" s="1"/>
  <c r="L96" i="8"/>
  <c r="L92" i="8" s="1"/>
  <c r="J95" i="8"/>
  <c r="J91" i="8" s="1"/>
  <c r="J94" i="8"/>
  <c r="J124" i="8"/>
  <c r="F863" i="13"/>
  <c r="I13" i="2"/>
  <c r="I126" i="2"/>
  <c r="D1275" i="13"/>
  <c r="E630" i="13"/>
  <c r="E592" i="13"/>
  <c r="AA38" i="3"/>
  <c r="H17" i="20"/>
  <c r="Z17" i="20" s="1"/>
  <c r="J98" i="8"/>
  <c r="J102" i="8" s="1"/>
  <c r="J103" i="8"/>
  <c r="K99" i="8"/>
  <c r="I125" i="8"/>
  <c r="I127" i="8" s="1"/>
  <c r="I136" i="8" s="1"/>
  <c r="I84" i="8" s="1"/>
  <c r="M109" i="8" l="1"/>
  <c r="L108" i="8"/>
  <c r="M131" i="8"/>
  <c r="M132" i="8" s="1"/>
  <c r="M134" i="8" s="1"/>
  <c r="M96" i="8"/>
  <c r="M92" i="8" s="1"/>
  <c r="O592" i="13"/>
  <c r="Y592" i="13"/>
  <c r="O630" i="13"/>
  <c r="Y630" i="13"/>
  <c r="K95" i="8"/>
  <c r="K91" i="8" s="1"/>
  <c r="J90" i="8"/>
  <c r="K94" i="8" s="1"/>
  <c r="K124" i="8"/>
  <c r="K103" i="8"/>
  <c r="K98" i="8"/>
  <c r="K102" i="8" s="1"/>
  <c r="K123" i="8"/>
  <c r="K125" i="8" s="1"/>
  <c r="K127" i="8" s="1"/>
  <c r="K136" i="8" s="1"/>
  <c r="K84" i="8" s="1"/>
  <c r="L99" i="8"/>
  <c r="N1275" i="13"/>
  <c r="J12" i="2"/>
  <c r="I69" i="8"/>
  <c r="I81" i="14"/>
  <c r="AI81" i="14" s="1"/>
  <c r="J125" i="8"/>
  <c r="J127" i="8" s="1"/>
  <c r="J136" i="8" s="1"/>
  <c r="J84" i="8" s="1"/>
  <c r="T17" i="20"/>
  <c r="H18" i="20"/>
  <c r="E632" i="13"/>
  <c r="E594" i="13"/>
  <c r="AA48" i="3"/>
  <c r="T18" i="20" l="1"/>
  <c r="Z18" i="20"/>
  <c r="M108" i="8"/>
  <c r="N109" i="8"/>
  <c r="N108" i="8" s="1"/>
  <c r="L95" i="8"/>
  <c r="L91" i="8" s="1"/>
  <c r="K90" i="8"/>
  <c r="L94" i="8" s="1"/>
  <c r="L124" i="8"/>
  <c r="N131" i="8"/>
  <c r="N132" i="8" s="1"/>
  <c r="N134" i="8" s="1"/>
  <c r="N96" i="8"/>
  <c r="N92" i="8" s="1"/>
  <c r="L103" i="8"/>
  <c r="L98" i="8"/>
  <c r="L102" i="8" s="1"/>
  <c r="L123" i="8"/>
  <c r="M99" i="8"/>
  <c r="I17" i="20"/>
  <c r="AA17" i="20" s="1"/>
  <c r="G863" i="13"/>
  <c r="J13" i="2"/>
  <c r="J126" i="2"/>
  <c r="E1275" i="13"/>
  <c r="F630" i="13"/>
  <c r="F592" i="13"/>
  <c r="O632" i="13"/>
  <c r="Y632" i="13"/>
  <c r="L12" i="2"/>
  <c r="K69" i="8"/>
  <c r="K81" i="14"/>
  <c r="AK81" i="14" s="1"/>
  <c r="Y594" i="13"/>
  <c r="O594" i="13"/>
  <c r="K12" i="2"/>
  <c r="J69" i="8"/>
  <c r="J81" i="14"/>
  <c r="AJ81" i="14" s="1"/>
  <c r="K17" i="20" l="1"/>
  <c r="F632" i="13"/>
  <c r="F594" i="13"/>
  <c r="O1275" i="13"/>
  <c r="U17" i="20"/>
  <c r="I18" i="20"/>
  <c r="J17" i="20"/>
  <c r="AB17" i="20" s="1"/>
  <c r="H863" i="13"/>
  <c r="K13" i="2"/>
  <c r="K126" i="2"/>
  <c r="F1275" i="13"/>
  <c r="M95" i="8"/>
  <c r="M91" i="8" s="1"/>
  <c r="L90" i="8"/>
  <c r="M94" i="8" s="1"/>
  <c r="M124" i="8"/>
  <c r="M103" i="8"/>
  <c r="M98" i="8"/>
  <c r="M102" i="8" s="1"/>
  <c r="N99" i="8"/>
  <c r="M123" i="8"/>
  <c r="P592" i="13"/>
  <c r="Z592" i="13"/>
  <c r="L125" i="8"/>
  <c r="L127" i="8" s="1"/>
  <c r="L136" i="8" s="1"/>
  <c r="L84" i="8" s="1"/>
  <c r="I863" i="13"/>
  <c r="L13" i="2"/>
  <c r="L126" i="2"/>
  <c r="P630" i="13"/>
  <c r="Z630" i="13"/>
  <c r="U18" i="20" l="1"/>
  <c r="AA18" i="20"/>
  <c r="K18" i="20"/>
  <c r="W18" i="20" s="1"/>
  <c r="W17" i="20"/>
  <c r="M125" i="8"/>
  <c r="M127" i="8" s="1"/>
  <c r="M136" i="8" s="1"/>
  <c r="M84" i="8" s="1"/>
  <c r="N12" i="2" s="1"/>
  <c r="N103" i="8"/>
  <c r="N123" i="8"/>
  <c r="N98" i="8"/>
  <c r="N102" i="8" s="1"/>
  <c r="M12" i="2"/>
  <c r="L17" i="20" s="1"/>
  <c r="L69" i="8"/>
  <c r="L81" i="14"/>
  <c r="AL81" i="14" s="1"/>
  <c r="V17" i="20"/>
  <c r="J18" i="20"/>
  <c r="N124" i="8"/>
  <c r="N95" i="8"/>
  <c r="N91" i="8" s="1"/>
  <c r="N90" i="8" s="1"/>
  <c r="M90" i="8"/>
  <c r="N94" i="8" s="1"/>
  <c r="Z594" i="13"/>
  <c r="P594" i="13"/>
  <c r="P632" i="13"/>
  <c r="Z632" i="13"/>
  <c r="P1275" i="13"/>
  <c r="L18" i="20" l="1"/>
  <c r="X18" i="20" s="1"/>
  <c r="X17" i="20"/>
  <c r="V18" i="20"/>
  <c r="AB18" i="20"/>
  <c r="M81" i="14"/>
  <c r="AM81" i="14" s="1"/>
  <c r="M69" i="8"/>
  <c r="N125" i="8"/>
  <c r="N127" i="8" s="1"/>
  <c r="N136" i="8" s="1"/>
  <c r="N84" i="8" s="1"/>
  <c r="O12" i="2" s="1"/>
  <c r="K863" i="13"/>
  <c r="N13" i="2"/>
  <c r="N126" i="2"/>
  <c r="J863" i="13"/>
  <c r="M13" i="2"/>
  <c r="M126" i="2"/>
  <c r="N81" i="14" l="1"/>
  <c r="AN81" i="14" s="1"/>
  <c r="N69" i="8"/>
  <c r="L863" i="13"/>
  <c r="O13" i="2"/>
  <c r="O126" i="2"/>
  <c r="K957" i="13" l="1"/>
  <c r="K22" i="19"/>
  <c r="W101" i="3"/>
  <c r="Z101" i="3" s="1"/>
  <c r="W111" i="3"/>
  <c r="K21" i="19" l="1"/>
  <c r="T22" i="19"/>
  <c r="K23" i="19"/>
  <c r="T23" i="19" l="1"/>
  <c r="T21" i="19"/>
  <c r="Y267" i="3"/>
  <c r="Y233" i="3" s="1"/>
  <c r="Y285" i="3"/>
  <c r="Y279" i="3" l="1"/>
  <c r="M32" i="19"/>
  <c r="Y245" i="3"/>
  <c r="Y239" i="3"/>
  <c r="M949" i="13" l="1"/>
  <c r="Y8" i="3"/>
  <c r="Y416" i="3"/>
  <c r="Y251" i="3"/>
  <c r="M1300" i="13" l="1"/>
  <c r="Y268" i="3"/>
  <c r="Y276" i="3"/>
  <c r="Y286" i="3"/>
  <c r="Y280" i="3" s="1"/>
  <c r="M35" i="19" l="1"/>
  <c r="Y288" i="3"/>
  <c r="Y270" i="3"/>
  <c r="Y277" i="3"/>
  <c r="Y234" i="3"/>
  <c r="M34" i="19" l="1"/>
  <c r="Y282" i="3"/>
  <c r="Y246" i="3"/>
  <c r="Y236" i="3"/>
  <c r="Y240" i="3"/>
  <c r="Y218" i="3" l="1"/>
  <c r="M31" i="19" s="1"/>
  <c r="M33" i="19" s="1"/>
  <c r="Y242" i="3"/>
  <c r="M950" i="13"/>
  <c r="M952" i="13" s="1"/>
  <c r="M953" i="13" s="1"/>
  <c r="Y9" i="3"/>
  <c r="Y248" i="3"/>
  <c r="M29" i="19" s="1"/>
  <c r="Y417" i="3"/>
  <c r="Y252" i="3"/>
  <c r="M30" i="19" l="1"/>
  <c r="Y7" i="3"/>
  <c r="Y415" i="3"/>
  <c r="Y254" i="3"/>
  <c r="Y261" i="3" s="1"/>
  <c r="Y227" i="3"/>
  <c r="M6" i="19" l="1"/>
  <c r="M25" i="19" s="1"/>
  <c r="AT7" i="3"/>
  <c r="Z420" i="3"/>
  <c r="Y425" i="3"/>
  <c r="Y435" i="3" s="1"/>
  <c r="Y54" i="3"/>
  <c r="Y63" i="3"/>
  <c r="M10" i="19" s="1"/>
  <c r="Y18" i="3"/>
  <c r="Y6" i="3"/>
  <c r="Y78" i="3" l="1"/>
  <c r="M4" i="19"/>
  <c r="AT6" i="3"/>
  <c r="Y88" i="3"/>
  <c r="Y65" i="3"/>
  <c r="Z421" i="3"/>
  <c r="Z422" i="3"/>
  <c r="Z423" i="3"/>
  <c r="Y38" i="3"/>
  <c r="M13" i="19" s="1"/>
  <c r="Y75" i="3"/>
  <c r="Y69" i="3"/>
  <c r="Y81" i="3"/>
  <c r="Y33" i="3"/>
  <c r="Y53" i="3"/>
  <c r="Y56" i="3" s="1"/>
  <c r="Y72" i="3"/>
  <c r="Y84" i="3"/>
  <c r="Y219" i="3" l="1"/>
  <c r="Z38" i="3"/>
  <c r="Y41" i="3"/>
  <c r="Y355" i="3"/>
  <c r="Y453" i="3"/>
  <c r="Y454" i="3" s="1"/>
  <c r="Y48" i="3"/>
  <c r="Y59" i="3" s="1"/>
  <c r="M14" i="19" s="1"/>
  <c r="Y356" i="3"/>
  <c r="Y357" i="3" s="1"/>
  <c r="M17" i="19" l="1"/>
  <c r="M15" i="19"/>
  <c r="N13" i="19"/>
  <c r="Z453" i="3"/>
  <c r="Z48" i="3"/>
  <c r="Y90" i="3"/>
  <c r="Y60" i="3"/>
  <c r="Y99" i="3" l="1"/>
  <c r="M19" i="19" s="1"/>
  <c r="Y93" i="3"/>
  <c r="Y97" i="3"/>
  <c r="Y100" i="3" l="1"/>
  <c r="M956" i="13"/>
  <c r="Y104" i="3"/>
  <c r="M22" i="19" s="1"/>
  <c r="M23" i="19" s="1"/>
  <c r="Y113" i="3"/>
  <c r="M20" i="19" l="1"/>
  <c r="M21" i="19"/>
  <c r="Y111" i="3"/>
  <c r="M957" i="13"/>
  <c r="Y105" i="3"/>
  <c r="Y110" i="3"/>
  <c r="H150" i="10" l="1"/>
  <c r="H155" i="10"/>
  <c r="I155" i="10" s="1"/>
  <c r="I186" i="10" s="1"/>
  <c r="I179" i="10" s="1"/>
  <c r="H51" i="14" s="1"/>
  <c r="AH51" i="14" s="1"/>
  <c r="G50" i="14"/>
  <c r="G52" i="14" s="1"/>
  <c r="AG52" i="14" s="1"/>
  <c r="AG50" i="14" l="1"/>
  <c r="I148" i="10"/>
  <c r="J155" i="10"/>
  <c r="J186" i="10" s="1"/>
  <c r="J179" i="10" l="1"/>
  <c r="J187" i="10"/>
  <c r="I45" i="14"/>
  <c r="I51" i="14"/>
  <c r="AI51" i="14" s="1"/>
  <c r="J148" i="10"/>
  <c r="K155" i="10"/>
  <c r="K186" i="10" s="1"/>
  <c r="I37" i="10"/>
  <c r="I150" i="10"/>
  <c r="H50" i="14"/>
  <c r="E1473" i="13" l="1"/>
  <c r="I149" i="10"/>
  <c r="I69" i="10"/>
  <c r="I70" i="10" s="1"/>
  <c r="K179" i="10"/>
  <c r="L1255" i="13" s="1"/>
  <c r="L1256" i="13" s="1"/>
  <c r="K187" i="10"/>
  <c r="AI45" i="14"/>
  <c r="AH50" i="14"/>
  <c r="H52" i="14"/>
  <c r="AH52" i="14" s="1"/>
  <c r="I38" i="10"/>
  <c r="I194" i="2"/>
  <c r="K15" i="15" s="1"/>
  <c r="I50" i="10"/>
  <c r="E1522" i="13" s="1"/>
  <c r="E1528" i="13" s="1"/>
  <c r="I180" i="10"/>
  <c r="I507" i="10"/>
  <c r="K148" i="10"/>
  <c r="L155" i="10"/>
  <c r="L186" i="10" s="1"/>
  <c r="J37" i="10"/>
  <c r="J150" i="10"/>
  <c r="I50" i="14"/>
  <c r="F1473" i="13" l="1"/>
  <c r="K181" i="10"/>
  <c r="J45" i="14" s="1"/>
  <c r="J51" i="14"/>
  <c r="AJ51" i="14" s="1"/>
  <c r="J149" i="10"/>
  <c r="J69" i="10"/>
  <c r="J70" i="10" s="1"/>
  <c r="L179" i="10"/>
  <c r="K51" i="14" s="1"/>
  <c r="AK51" i="14" s="1"/>
  <c r="L187" i="10"/>
  <c r="I59" i="10"/>
  <c r="I51" i="10"/>
  <c r="AA246" i="3"/>
  <c r="H16" i="8"/>
  <c r="AI50" i="14"/>
  <c r="I52" i="14"/>
  <c r="AI52" i="14" s="1"/>
  <c r="L148" i="10"/>
  <c r="M155" i="10"/>
  <c r="M186" i="10" s="1"/>
  <c r="D1289" i="13"/>
  <c r="E648" i="13"/>
  <c r="E610" i="13"/>
  <c r="F726" i="13"/>
  <c r="H35" i="20"/>
  <c r="I138" i="2"/>
  <c r="Z234" i="3"/>
  <c r="I98" i="14"/>
  <c r="I140" i="14"/>
  <c r="J38" i="10"/>
  <c r="J194" i="2"/>
  <c r="L15" i="15" s="1"/>
  <c r="J50" i="10"/>
  <c r="J180" i="10"/>
  <c r="J507" i="10"/>
  <c r="L1250" i="13"/>
  <c r="L1251" i="13" s="1"/>
  <c r="K150" i="10"/>
  <c r="K37" i="10"/>
  <c r="J50" i="14"/>
  <c r="L181" i="10" l="1"/>
  <c r="K45" i="14" s="1"/>
  <c r="K69" i="10"/>
  <c r="K70" i="10" s="1"/>
  <c r="G1473" i="13"/>
  <c r="M179" i="10"/>
  <c r="M181" i="10" s="1"/>
  <c r="L45" i="14" s="1"/>
  <c r="M187" i="10"/>
  <c r="AK45" i="14"/>
  <c r="AJ45" i="14"/>
  <c r="I16" i="8"/>
  <c r="I59" i="14" s="1"/>
  <c r="AI59" i="14" s="1"/>
  <c r="F1522" i="13"/>
  <c r="F1528" i="13" s="1"/>
  <c r="AJ50" i="14"/>
  <c r="J52" i="14"/>
  <c r="AJ52" i="14" s="1"/>
  <c r="O610" i="13"/>
  <c r="Y610" i="13"/>
  <c r="Y648" i="13"/>
  <c r="O648" i="13"/>
  <c r="I295" i="10"/>
  <c r="I297" i="10" s="1"/>
  <c r="F301" i="10" s="1"/>
  <c r="AA9" i="3"/>
  <c r="Z9" i="3" s="1"/>
  <c r="I508" i="10"/>
  <c r="H59" i="14"/>
  <c r="AH59" i="14" s="1"/>
  <c r="L1260" i="13"/>
  <c r="L1261" i="13" s="1"/>
  <c r="K38" i="10"/>
  <c r="K180" i="10"/>
  <c r="K507" i="10"/>
  <c r="K194" i="2"/>
  <c r="M15" i="15" s="1"/>
  <c r="N15" i="15" s="1"/>
  <c r="K50" i="10"/>
  <c r="G1522" i="13" s="1"/>
  <c r="G1528" i="13" s="1"/>
  <c r="J59" i="10"/>
  <c r="J51" i="10"/>
  <c r="Z240" i="3"/>
  <c r="Z268" i="3"/>
  <c r="N1289" i="13"/>
  <c r="Z246" i="3"/>
  <c r="T35" i="20"/>
  <c r="K149" i="10"/>
  <c r="M148" i="10"/>
  <c r="N155" i="10"/>
  <c r="N186" i="10" s="1"/>
  <c r="F610" i="13"/>
  <c r="I35" i="20"/>
  <c r="E1289" i="13"/>
  <c r="F648" i="13"/>
  <c r="J138" i="2"/>
  <c r="E33" i="16"/>
  <c r="J98" i="14"/>
  <c r="J140" i="14"/>
  <c r="L37" i="10"/>
  <c r="L150" i="10"/>
  <c r="K50" i="14"/>
  <c r="L69" i="10" l="1"/>
  <c r="L70" i="10" s="1"/>
  <c r="H1473" i="13"/>
  <c r="L51" i="14"/>
  <c r="AL51" i="14" s="1"/>
  <c r="N179" i="10"/>
  <c r="M51" i="14" s="1"/>
  <c r="AM51" i="14" s="1"/>
  <c r="N187" i="10"/>
  <c r="J295" i="10"/>
  <c r="J297" i="10" s="1"/>
  <c r="G301" i="10" s="1"/>
  <c r="D255" i="13"/>
  <c r="D261" i="13" s="1"/>
  <c r="J508" i="10"/>
  <c r="AL45" i="14"/>
  <c r="O1289" i="13"/>
  <c r="N950" i="13"/>
  <c r="Z252" i="3"/>
  <c r="Z259" i="3" s="1"/>
  <c r="Z417" i="3"/>
  <c r="Z286" i="3"/>
  <c r="P610" i="13"/>
  <c r="Z610" i="13"/>
  <c r="L38" i="10"/>
  <c r="L50" i="10"/>
  <c r="L180" i="10"/>
  <c r="L507" i="10"/>
  <c r="L194" i="2"/>
  <c r="M150" i="10"/>
  <c r="M37" i="10"/>
  <c r="L50" i="14"/>
  <c r="Z274" i="3"/>
  <c r="Z277" i="3"/>
  <c r="U35" i="20"/>
  <c r="N148" i="10"/>
  <c r="O155" i="10"/>
  <c r="K59" i="10"/>
  <c r="K51" i="10"/>
  <c r="L149" i="10"/>
  <c r="J35" i="20"/>
  <c r="F1289" i="13"/>
  <c r="K138" i="2"/>
  <c r="K98" i="14"/>
  <c r="K140" i="14"/>
  <c r="AK50" i="14"/>
  <c r="K52" i="14"/>
  <c r="AK52" i="14" s="1"/>
  <c r="P648" i="13"/>
  <c r="Z648" i="13"/>
  <c r="J16" i="8"/>
  <c r="Z22" i="3"/>
  <c r="I1473" i="13" l="1"/>
  <c r="N181" i="10"/>
  <c r="M45" i="14" s="1"/>
  <c r="M149" i="10"/>
  <c r="M69" i="10"/>
  <c r="M70" i="10" s="1"/>
  <c r="AM45" i="14"/>
  <c r="O148" i="10"/>
  <c r="O150" i="10" s="1"/>
  <c r="O186" i="10"/>
  <c r="K16" i="8"/>
  <c r="L508" i="10" s="1"/>
  <c r="H1522" i="13"/>
  <c r="H1528" i="13" s="1"/>
  <c r="N1300" i="13"/>
  <c r="N150" i="10"/>
  <c r="N37" i="10"/>
  <c r="M50" i="14"/>
  <c r="K35" i="20"/>
  <c r="L138" i="2"/>
  <c r="L98" i="14"/>
  <c r="L140" i="14"/>
  <c r="Z280" i="3"/>
  <c r="V35" i="20"/>
  <c r="P1289" i="13"/>
  <c r="AL50" i="14"/>
  <c r="L52" i="14"/>
  <c r="AL52" i="14" s="1"/>
  <c r="K295" i="10"/>
  <c r="K508" i="10"/>
  <c r="J59" i="14"/>
  <c r="AJ59" i="14" s="1"/>
  <c r="M38" i="10"/>
  <c r="M50" i="10"/>
  <c r="M180" i="10"/>
  <c r="M507" i="10"/>
  <c r="M194" i="2"/>
  <c r="L35" i="20" s="1"/>
  <c r="X35" i="20" s="1"/>
  <c r="L59" i="10"/>
  <c r="L51" i="10"/>
  <c r="N69" i="10" l="1"/>
  <c r="N70" i="10" s="1"/>
  <c r="J1473" i="13"/>
  <c r="O179" i="10"/>
  <c r="O37" i="10" s="1"/>
  <c r="O187" i="10"/>
  <c r="L295" i="10"/>
  <c r="K59" i="14"/>
  <c r="AK59" i="14" s="1"/>
  <c r="O181" i="10"/>
  <c r="N45" i="14" s="1"/>
  <c r="N51" i="14"/>
  <c r="AN51" i="14" s="1"/>
  <c r="N50" i="14"/>
  <c r="AN50" i="14" s="1"/>
  <c r="L16" i="8"/>
  <c r="L59" i="14" s="1"/>
  <c r="AL59" i="14" s="1"/>
  <c r="I1522" i="13"/>
  <c r="I1528" i="13" s="1"/>
  <c r="W35" i="20"/>
  <c r="AM50" i="14"/>
  <c r="M52" i="14"/>
  <c r="AM52" i="14" s="1"/>
  <c r="N38" i="10"/>
  <c r="N50" i="10"/>
  <c r="M16" i="8" s="1"/>
  <c r="N180" i="10"/>
  <c r="N507" i="10"/>
  <c r="N194" i="2"/>
  <c r="O194" i="2"/>
  <c r="O38" i="10"/>
  <c r="O50" i="10"/>
  <c r="O180" i="10"/>
  <c r="O507" i="10"/>
  <c r="N149" i="10"/>
  <c r="M138" i="2"/>
  <c r="M140" i="14"/>
  <c r="M98" i="14"/>
  <c r="M51" i="10"/>
  <c r="M59" i="10"/>
  <c r="K1473" i="13" l="1"/>
  <c r="O149" i="10"/>
  <c r="O69" i="10"/>
  <c r="O70" i="10" s="1"/>
  <c r="N52" i="14"/>
  <c r="AN52" i="14" s="1"/>
  <c r="M295" i="10"/>
  <c r="M508" i="10"/>
  <c r="AN45" i="14"/>
  <c r="N138" i="2"/>
  <c r="N98" i="14"/>
  <c r="N140" i="14"/>
  <c r="O51" i="10"/>
  <c r="O59" i="10"/>
  <c r="N508" i="10"/>
  <c r="N295" i="10"/>
  <c r="M59" i="14"/>
  <c r="AM59" i="14" s="1"/>
  <c r="O138" i="2"/>
  <c r="O98" i="14"/>
  <c r="O140" i="14"/>
  <c r="N51" i="10"/>
  <c r="N59" i="10"/>
  <c r="N16" i="8"/>
  <c r="O295" i="10" l="1"/>
  <c r="O508" i="10"/>
  <c r="N59" i="14"/>
  <c r="AN59" i="14" s="1"/>
  <c r="H147" i="10" l="1"/>
  <c r="D1459" i="13" s="1"/>
  <c r="H153" i="10"/>
  <c r="H157" i="10"/>
  <c r="G44" i="14"/>
  <c r="AG44" i="14" s="1"/>
  <c r="D1493" i="13" l="1"/>
  <c r="D1498" i="13" s="1"/>
  <c r="D1488" i="13" s="1"/>
  <c r="D1487" i="13" s="1"/>
  <c r="D1489" i="13" s="1"/>
  <c r="I157" i="10"/>
  <c r="I151" i="10" s="1"/>
  <c r="E1565" i="13" s="1"/>
  <c r="H188" i="10"/>
  <c r="E1577" i="13" l="1"/>
  <c r="E1578" i="13" s="1"/>
  <c r="E1574" i="13" s="1"/>
  <c r="E1569" i="13"/>
  <c r="I188" i="10"/>
  <c r="I182" i="10" s="1"/>
  <c r="I178" i="10" s="1"/>
  <c r="E1460" i="13" s="1"/>
  <c r="J157" i="10"/>
  <c r="J188" i="10" s="1"/>
  <c r="H189" i="10"/>
  <c r="H182" i="10"/>
  <c r="I153" i="10"/>
  <c r="I147" i="10"/>
  <c r="E1459" i="13" s="1"/>
  <c r="H44" i="14"/>
  <c r="E1493" i="13" l="1"/>
  <c r="E1498" i="13" s="1"/>
  <c r="E1488" i="13" s="1"/>
  <c r="E1487" i="13" s="1"/>
  <c r="E1489" i="13" s="1"/>
  <c r="I189" i="10"/>
  <c r="K157" i="10"/>
  <c r="L157" i="10" s="1"/>
  <c r="J151" i="10"/>
  <c r="J182" i="10"/>
  <c r="J178" i="10" s="1"/>
  <c r="F1460" i="13" s="1"/>
  <c r="J189" i="10"/>
  <c r="H102" i="10"/>
  <c r="D1541" i="13" s="1"/>
  <c r="H178" i="10"/>
  <c r="D1460" i="13" s="1"/>
  <c r="AH44" i="14"/>
  <c r="K151" i="10" l="1"/>
  <c r="G1565" i="13" s="1"/>
  <c r="G1569" i="13"/>
  <c r="G1577" i="13"/>
  <c r="G1578" i="13" s="1"/>
  <c r="G1574" i="13" s="1"/>
  <c r="D1553" i="13"/>
  <c r="D1554" i="13" s="1"/>
  <c r="D1550" i="13" s="1"/>
  <c r="D1545" i="13"/>
  <c r="J153" i="10"/>
  <c r="F1565" i="13"/>
  <c r="I44" i="14"/>
  <c r="AI44" i="14" s="1"/>
  <c r="J147" i="10"/>
  <c r="F1459" i="13" s="1"/>
  <c r="F1493" i="13" s="1"/>
  <c r="F1498" i="13" s="1"/>
  <c r="F1488" i="13" s="1"/>
  <c r="F1487" i="13" s="1"/>
  <c r="F1489" i="13" s="1"/>
  <c r="K188" i="10"/>
  <c r="J184" i="10"/>
  <c r="K182" i="10"/>
  <c r="K184" i="10" s="1"/>
  <c r="K189" i="10"/>
  <c r="H103" i="10"/>
  <c r="D1483" i="13"/>
  <c r="D1484" i="13" s="1"/>
  <c r="H104" i="10"/>
  <c r="H117" i="10"/>
  <c r="H108" i="10"/>
  <c r="H109" i="10" s="1"/>
  <c r="G43" i="14"/>
  <c r="H479" i="10"/>
  <c r="H97" i="10"/>
  <c r="D1458" i="13" s="1"/>
  <c r="K1255" i="13"/>
  <c r="K1256" i="13" s="1"/>
  <c r="L151" i="10"/>
  <c r="H1565" i="13" s="1"/>
  <c r="M157" i="10"/>
  <c r="L188" i="10"/>
  <c r="K153" i="10"/>
  <c r="K1250" i="13"/>
  <c r="K1251" i="13" s="1"/>
  <c r="K147" i="10"/>
  <c r="G1459" i="13" s="1"/>
  <c r="G1493" i="13" s="1"/>
  <c r="G1498" i="13" s="1"/>
  <c r="G1488" i="13" s="1"/>
  <c r="G1487" i="13" s="1"/>
  <c r="G1489" i="13" s="1"/>
  <c r="J44" i="14"/>
  <c r="H1577" i="13" l="1"/>
  <c r="H1578" i="13" s="1"/>
  <c r="H1574" i="13" s="1"/>
  <c r="H1569" i="13"/>
  <c r="F1577" i="13"/>
  <c r="F1578" i="13" s="1"/>
  <c r="F1574" i="13" s="1"/>
  <c r="F1569" i="13"/>
  <c r="K178" i="10"/>
  <c r="G1460" i="13" s="1"/>
  <c r="H114" i="10"/>
  <c r="H118" i="10"/>
  <c r="H124" i="10"/>
  <c r="D1461" i="13"/>
  <c r="AG43" i="14"/>
  <c r="G46" i="14"/>
  <c r="AG46" i="14" s="1"/>
  <c r="L182" i="10"/>
  <c r="L184" i="10" s="1"/>
  <c r="L189" i="10"/>
  <c r="M188" i="10"/>
  <c r="M151" i="10"/>
  <c r="I1565" i="13" s="1"/>
  <c r="N157" i="10"/>
  <c r="AJ44" i="14"/>
  <c r="L153" i="10"/>
  <c r="L147" i="10"/>
  <c r="H1459" i="13" s="1"/>
  <c r="H1493" i="13" s="1"/>
  <c r="H1498" i="13" s="1"/>
  <c r="H1488" i="13" s="1"/>
  <c r="H1487" i="13" s="1"/>
  <c r="H1489" i="13" s="1"/>
  <c r="K44" i="14"/>
  <c r="D1515" i="13" l="1"/>
  <c r="D1465" i="13"/>
  <c r="D1471" i="13" s="1"/>
  <c r="D1466" i="13"/>
  <c r="D1472" i="13" s="1"/>
  <c r="D1464" i="13"/>
  <c r="D1470" i="13" s="1"/>
  <c r="I1569" i="13"/>
  <c r="I1577" i="13"/>
  <c r="I1578" i="13" s="1"/>
  <c r="I1574" i="13" s="1"/>
  <c r="L178" i="10"/>
  <c r="H1460" i="13" s="1"/>
  <c r="D1476" i="13"/>
  <c r="D1477" i="13"/>
  <c r="D1516" i="13"/>
  <c r="D1478" i="13"/>
  <c r="D1517" i="13"/>
  <c r="I124" i="10"/>
  <c r="H125" i="10"/>
  <c r="M182" i="10"/>
  <c r="M184" i="10" s="1"/>
  <c r="M189" i="10"/>
  <c r="H72" i="10"/>
  <c r="H68" i="10"/>
  <c r="M147" i="10"/>
  <c r="I1459" i="13" s="1"/>
  <c r="I1493" i="13" s="1"/>
  <c r="I1498" i="13" s="1"/>
  <c r="I1488" i="13" s="1"/>
  <c r="I1487" i="13" s="1"/>
  <c r="I1489" i="13" s="1"/>
  <c r="M153" i="10"/>
  <c r="L44" i="14"/>
  <c r="AK44" i="14"/>
  <c r="N151" i="10"/>
  <c r="O157" i="10"/>
  <c r="N188" i="10"/>
  <c r="N182" i="10" l="1"/>
  <c r="N184" i="10" s="1"/>
  <c r="N189" i="10"/>
  <c r="M178" i="10"/>
  <c r="I1460" i="13" s="1"/>
  <c r="I117" i="10"/>
  <c r="I102" i="10" s="1"/>
  <c r="E1541" i="13" s="1"/>
  <c r="E1553" i="13" s="1"/>
  <c r="E1554" i="13" s="1"/>
  <c r="E1550" i="13" s="1"/>
  <c r="J124" i="10"/>
  <c r="J117" i="10" s="1"/>
  <c r="J102" i="10" s="1"/>
  <c r="AL44" i="14"/>
  <c r="O151" i="10"/>
  <c r="O188" i="10"/>
  <c r="N147" i="10"/>
  <c r="J1459" i="13" s="1"/>
  <c r="J1493" i="13" s="1"/>
  <c r="J1498" i="13" s="1"/>
  <c r="J1488" i="13" s="1"/>
  <c r="J1487" i="13" s="1"/>
  <c r="J1489" i="13" s="1"/>
  <c r="N153" i="10"/>
  <c r="M44" i="14"/>
  <c r="J39" i="10" l="1"/>
  <c r="F1467" i="13" s="1"/>
  <c r="F1541" i="13"/>
  <c r="F1553" i="13" s="1"/>
  <c r="F1554" i="13" s="1"/>
  <c r="F1550" i="13" s="1"/>
  <c r="N178" i="10"/>
  <c r="J1460" i="13" s="1"/>
  <c r="J193" i="2"/>
  <c r="I34" i="20" s="1"/>
  <c r="J71" i="10"/>
  <c r="F1545" i="13" s="1"/>
  <c r="K124" i="10"/>
  <c r="I118" i="10"/>
  <c r="I114" i="10"/>
  <c r="O182" i="10"/>
  <c r="O184" i="10" s="1"/>
  <c r="O189" i="10"/>
  <c r="AM44" i="14"/>
  <c r="O153" i="10"/>
  <c r="O147" i="10"/>
  <c r="K1459" i="13" s="1"/>
  <c r="K1493" i="13" s="1"/>
  <c r="K1498" i="13" s="1"/>
  <c r="K1488" i="13" s="1"/>
  <c r="K1487" i="13" s="1"/>
  <c r="K1489" i="13" s="1"/>
  <c r="N44" i="14"/>
  <c r="O178" i="10" l="1"/>
  <c r="K1460" i="13" s="1"/>
  <c r="E1483" i="13"/>
  <c r="E1484" i="13" s="1"/>
  <c r="I97" i="10"/>
  <c r="E1458" i="13" s="1"/>
  <c r="I108" i="10"/>
  <c r="I109" i="10" s="1"/>
  <c r="H43" i="14"/>
  <c r="I104" i="10"/>
  <c r="I479" i="10"/>
  <c r="I39" i="10"/>
  <c r="L124" i="10"/>
  <c r="K117" i="10"/>
  <c r="J114" i="10"/>
  <c r="J118" i="10"/>
  <c r="AN44" i="14"/>
  <c r="I71" i="10" l="1"/>
  <c r="E1545" i="13" s="1"/>
  <c r="E1467" i="13"/>
  <c r="I72" i="10"/>
  <c r="AH43" i="14"/>
  <c r="H46" i="14"/>
  <c r="AH46" i="14" s="1"/>
  <c r="J72" i="10"/>
  <c r="F1483" i="13"/>
  <c r="F1484" i="13" s="1"/>
  <c r="J104" i="10"/>
  <c r="I43" i="14"/>
  <c r="J479" i="10"/>
  <c r="J108" i="10"/>
  <c r="J109" i="10" s="1"/>
  <c r="J97" i="10"/>
  <c r="F1458" i="13" s="1"/>
  <c r="E1461" i="13"/>
  <c r="K102" i="10"/>
  <c r="G1541" i="13" s="1"/>
  <c r="G1553" i="13" s="1"/>
  <c r="G1554" i="13" s="1"/>
  <c r="G1550" i="13" s="1"/>
  <c r="K114" i="10"/>
  <c r="K118" i="10"/>
  <c r="M124" i="10"/>
  <c r="L117" i="10"/>
  <c r="I152" i="10"/>
  <c r="I52" i="10"/>
  <c r="I35" i="10"/>
  <c r="I67" i="10" s="1"/>
  <c r="I68" i="10" s="1"/>
  <c r="I193" i="2"/>
  <c r="Z233" i="3" s="1"/>
  <c r="I40" i="10"/>
  <c r="I183" i="10"/>
  <c r="E1476" i="13" l="1"/>
  <c r="E1465" i="13"/>
  <c r="E1471" i="13" s="1"/>
  <c r="E1466" i="13"/>
  <c r="E1472" i="13" s="1"/>
  <c r="E1464" i="13"/>
  <c r="E1470" i="13" s="1"/>
  <c r="H9" i="8"/>
  <c r="E646" i="13"/>
  <c r="I191" i="2"/>
  <c r="K14" i="15"/>
  <c r="I137" i="2"/>
  <c r="E608" i="13"/>
  <c r="F725" i="13"/>
  <c r="H85" i="8"/>
  <c r="F727" i="13"/>
  <c r="I138" i="14"/>
  <c r="D1287" i="13"/>
  <c r="I136" i="14"/>
  <c r="H34" i="20"/>
  <c r="I159" i="14"/>
  <c r="AA218" i="3"/>
  <c r="I36" i="10"/>
  <c r="I7" i="17"/>
  <c r="G1483" i="13"/>
  <c r="G1484" i="13" s="1"/>
  <c r="K1245" i="13"/>
  <c r="K108" i="10"/>
  <c r="K109" i="10" s="1"/>
  <c r="K104" i="10"/>
  <c r="K479" i="10"/>
  <c r="K97" i="10"/>
  <c r="G1458" i="13" s="1"/>
  <c r="J43" i="14"/>
  <c r="K39" i="10"/>
  <c r="AI43" i="14"/>
  <c r="I46" i="14"/>
  <c r="AI46" i="14" s="1"/>
  <c r="I53" i="10"/>
  <c r="AA245" i="3"/>
  <c r="I61" i="10"/>
  <c r="I57" i="10" s="1"/>
  <c r="I48" i="10"/>
  <c r="E1521" i="13"/>
  <c r="E1527" i="13" s="1"/>
  <c r="L102" i="10"/>
  <c r="H1541" i="13" s="1"/>
  <c r="H1553" i="13" s="1"/>
  <c r="H1554" i="13" s="1"/>
  <c r="H1550" i="13" s="1"/>
  <c r="L118" i="10"/>
  <c r="L114" i="10"/>
  <c r="E1478" i="13"/>
  <c r="E1477" i="13"/>
  <c r="N124" i="10"/>
  <c r="M117" i="10"/>
  <c r="J183" i="10"/>
  <c r="J152" i="10"/>
  <c r="J52" i="10"/>
  <c r="J40" i="10"/>
  <c r="J35" i="10"/>
  <c r="J67" i="10" s="1"/>
  <c r="J68" i="10" s="1"/>
  <c r="F1461" i="13"/>
  <c r="F1476" i="13" l="1"/>
  <c r="F1466" i="13"/>
  <c r="F1472" i="13" s="1"/>
  <c r="F1465" i="13"/>
  <c r="F1471" i="13" s="1"/>
  <c r="K71" i="10"/>
  <c r="G1467" i="13"/>
  <c r="F1464" i="13"/>
  <c r="F1470" i="13" s="1"/>
  <c r="H13" i="8"/>
  <c r="H8" i="8"/>
  <c r="H14" i="8" s="1"/>
  <c r="I9" i="8"/>
  <c r="I135" i="14"/>
  <c r="I58" i="10"/>
  <c r="J61" i="10"/>
  <c r="J57" i="10" s="1"/>
  <c r="J48" i="10"/>
  <c r="J53" i="10"/>
  <c r="F1521" i="13"/>
  <c r="F1527" i="13" s="1"/>
  <c r="H7" i="8"/>
  <c r="AJ43" i="14"/>
  <c r="J46" i="14"/>
  <c r="AJ46" i="14" s="1"/>
  <c r="J137" i="2"/>
  <c r="E32" i="16"/>
  <c r="E31" i="16" s="1"/>
  <c r="J191" i="2"/>
  <c r="I85" i="8"/>
  <c r="F646" i="13"/>
  <c r="L14" i="15"/>
  <c r="F608" i="13"/>
  <c r="J138" i="14"/>
  <c r="E1287" i="13"/>
  <c r="J136" i="14"/>
  <c r="G1461" i="13"/>
  <c r="AA219" i="3"/>
  <c r="Z218" i="3"/>
  <c r="Z245" i="3"/>
  <c r="AA248" i="3"/>
  <c r="AA41" i="3" s="1"/>
  <c r="I144" i="14"/>
  <c r="I161" i="14"/>
  <c r="I162" i="14" s="1"/>
  <c r="J159" i="14"/>
  <c r="Z267" i="3"/>
  <c r="N32" i="19"/>
  <c r="Z236" i="3"/>
  <c r="Z239" i="3"/>
  <c r="H37" i="20"/>
  <c r="T34" i="20"/>
  <c r="E606" i="13"/>
  <c r="O608" i="13"/>
  <c r="Y608" i="13"/>
  <c r="M102" i="10"/>
  <c r="I1541" i="13" s="1"/>
  <c r="I1553" i="13" s="1"/>
  <c r="I1554" i="13" s="1"/>
  <c r="I1550" i="13" s="1"/>
  <c r="M118" i="10"/>
  <c r="M114" i="10"/>
  <c r="F1478" i="13"/>
  <c r="F1477" i="13"/>
  <c r="O124" i="10"/>
  <c r="O117" i="10" s="1"/>
  <c r="N117" i="10"/>
  <c r="H1483" i="13"/>
  <c r="H1484" i="13" s="1"/>
  <c r="L108" i="10"/>
  <c r="L109" i="10" s="1"/>
  <c r="L97" i="10"/>
  <c r="H1458" i="13" s="1"/>
  <c r="L104" i="10"/>
  <c r="L479" i="10"/>
  <c r="K43" i="14"/>
  <c r="L39" i="10"/>
  <c r="K1246" i="13"/>
  <c r="C1233" i="13"/>
  <c r="N1287" i="13"/>
  <c r="D1285" i="13"/>
  <c r="N1285" i="13" s="1"/>
  <c r="J36" i="10"/>
  <c r="J7" i="17"/>
  <c r="I49" i="10"/>
  <c r="E1518" i="13"/>
  <c r="K183" i="10"/>
  <c r="K1260" i="13"/>
  <c r="K1261" i="13" s="1"/>
  <c r="K52" i="10"/>
  <c r="K40" i="10"/>
  <c r="K193" i="2"/>
  <c r="K152" i="10"/>
  <c r="K35" i="10"/>
  <c r="K67" i="10" s="1"/>
  <c r="K68" i="10" s="1"/>
  <c r="E644" i="13"/>
  <c r="Y646" i="13"/>
  <c r="O646" i="13"/>
  <c r="G1464" i="13" l="1"/>
  <c r="G1470" i="13" s="1"/>
  <c r="H58" i="14"/>
  <c r="AH58" i="14" s="1"/>
  <c r="AA8" i="3"/>
  <c r="Z8" i="3" s="1"/>
  <c r="I205" i="10"/>
  <c r="I206" i="10" s="1"/>
  <c r="L71" i="10"/>
  <c r="H1545" i="13" s="1"/>
  <c r="H1467" i="13"/>
  <c r="G1545" i="13"/>
  <c r="K72" i="10"/>
  <c r="G1476" i="13"/>
  <c r="G1465" i="13"/>
  <c r="G1471" i="13" s="1"/>
  <c r="G1466" i="13"/>
  <c r="G1472" i="13" s="1"/>
  <c r="I480" i="10"/>
  <c r="I13" i="8"/>
  <c r="I8" i="8"/>
  <c r="J291" i="10" s="1"/>
  <c r="J293" i="10" s="1"/>
  <c r="G300" i="10" s="1"/>
  <c r="I291" i="10"/>
  <c r="I293" i="10" s="1"/>
  <c r="F300" i="10" s="1"/>
  <c r="L72" i="10"/>
  <c r="J9" i="8"/>
  <c r="J135" i="14"/>
  <c r="N102" i="10"/>
  <c r="N118" i="10"/>
  <c r="N114" i="10"/>
  <c r="I1483" i="13"/>
  <c r="I1484" i="13" s="1"/>
  <c r="M104" i="10"/>
  <c r="M108" i="10"/>
  <c r="M109" i="10" s="1"/>
  <c r="M479" i="10"/>
  <c r="L43" i="14"/>
  <c r="M97" i="10"/>
  <c r="I1458" i="13" s="1"/>
  <c r="M39" i="10"/>
  <c r="N949" i="13"/>
  <c r="Z248" i="3"/>
  <c r="Z285" i="3"/>
  <c r="Z251" i="3"/>
  <c r="Z258" i="3" s="1"/>
  <c r="Z416" i="3"/>
  <c r="Z415" i="3" s="1"/>
  <c r="Z425" i="3" s="1"/>
  <c r="Z435" i="3" s="1"/>
  <c r="I37" i="20"/>
  <c r="U34" i="20"/>
  <c r="O644" i="13"/>
  <c r="Y644" i="13"/>
  <c r="E1524" i="13"/>
  <c r="E1530" i="13" s="1"/>
  <c r="E1515" i="13"/>
  <c r="E1517" i="13"/>
  <c r="E1516" i="13"/>
  <c r="L183" i="10"/>
  <c r="L52" i="10"/>
  <c r="L40" i="10"/>
  <c r="L152" i="10"/>
  <c r="L193" i="2"/>
  <c r="L35" i="10"/>
  <c r="O114" i="10"/>
  <c r="O102" i="10"/>
  <c r="O118" i="10"/>
  <c r="Z242" i="3"/>
  <c r="Z355" i="3"/>
  <c r="Z356" i="3"/>
  <c r="Z357" i="3" s="1"/>
  <c r="E38" i="16"/>
  <c r="F31" i="16"/>
  <c r="K36" i="10"/>
  <c r="K7" i="17"/>
  <c r="AK43" i="14"/>
  <c r="K46" i="14"/>
  <c r="AK46" i="14" s="1"/>
  <c r="O1287" i="13"/>
  <c r="E1285" i="13"/>
  <c r="O1285" i="13" s="1"/>
  <c r="H61" i="14"/>
  <c r="H6" i="20"/>
  <c r="I5" i="2"/>
  <c r="H4" i="8"/>
  <c r="I513" i="10"/>
  <c r="Z270" i="3"/>
  <c r="N34" i="19" s="1"/>
  <c r="Z273" i="3"/>
  <c r="Z227" i="3"/>
  <c r="Z219" i="3"/>
  <c r="N31" i="19"/>
  <c r="N33" i="19" s="1"/>
  <c r="Z608" i="13"/>
  <c r="F606" i="13"/>
  <c r="P608" i="13"/>
  <c r="K191" i="2"/>
  <c r="M14" i="15"/>
  <c r="N14" i="15" s="1"/>
  <c r="K138" i="14"/>
  <c r="K136" i="14"/>
  <c r="F1287" i="13"/>
  <c r="J34" i="20"/>
  <c r="J85" i="8"/>
  <c r="K137" i="2"/>
  <c r="K159" i="14"/>
  <c r="J144" i="14"/>
  <c r="J161" i="14"/>
  <c r="J162" i="14" s="1"/>
  <c r="H1461" i="13"/>
  <c r="H1464" i="13" s="1"/>
  <c r="H1470" i="13" s="1"/>
  <c r="I165" i="14"/>
  <c r="I168" i="14" s="1"/>
  <c r="J49" i="10"/>
  <c r="F1518" i="13"/>
  <c r="Y606" i="13"/>
  <c r="O606" i="13"/>
  <c r="K53" i="10"/>
  <c r="K48" i="10"/>
  <c r="G1521" i="13"/>
  <c r="G1527" i="13" s="1"/>
  <c r="K61" i="10"/>
  <c r="K57" i="10" s="1"/>
  <c r="H42" i="20"/>
  <c r="T37" i="20"/>
  <c r="I145" i="14"/>
  <c r="I148" i="14" s="1"/>
  <c r="I150" i="14"/>
  <c r="I153" i="14" s="1"/>
  <c r="Z646" i="13"/>
  <c r="P646" i="13"/>
  <c r="F644" i="13"/>
  <c r="Z21" i="3"/>
  <c r="I7" i="8"/>
  <c r="G1477" i="13"/>
  <c r="G1478" i="13"/>
  <c r="J58" i="10"/>
  <c r="J205" i="10" l="1"/>
  <c r="J206" i="10" s="1"/>
  <c r="D254" i="13"/>
  <c r="D260" i="13" s="1"/>
  <c r="J480" i="10"/>
  <c r="I58" i="14"/>
  <c r="AI58" i="14" s="1"/>
  <c r="I14" i="8"/>
  <c r="H1465" i="13"/>
  <c r="H1471" i="13" s="1"/>
  <c r="H1466" i="13"/>
  <c r="H1472" i="13" s="1"/>
  <c r="M71" i="10"/>
  <c r="I1545" i="13" s="1"/>
  <c r="I1467" i="13"/>
  <c r="J13" i="8"/>
  <c r="J8" i="8"/>
  <c r="J14" i="8" s="1"/>
  <c r="K9" i="8"/>
  <c r="L36" i="10"/>
  <c r="L67" i="10"/>
  <c r="L68" i="10" s="1"/>
  <c r="K135" i="14"/>
  <c r="I155" i="14"/>
  <c r="I96" i="14" s="1"/>
  <c r="K58" i="10"/>
  <c r="I171" i="14"/>
  <c r="I174" i="14" s="1"/>
  <c r="I176" i="14" s="1"/>
  <c r="I97" i="14" s="1"/>
  <c r="H1478" i="13"/>
  <c r="H1477" i="13"/>
  <c r="H60" i="14"/>
  <c r="AH60" i="14" s="1"/>
  <c r="AH61" i="14"/>
  <c r="K1483" i="13"/>
  <c r="K1484" i="13" s="1"/>
  <c r="O104" i="10"/>
  <c r="O97" i="10"/>
  <c r="K1458" i="13" s="1"/>
  <c r="O108" i="10"/>
  <c r="O479" i="10"/>
  <c r="N43" i="14"/>
  <c r="O39" i="10"/>
  <c r="I6" i="20"/>
  <c r="J5" i="2"/>
  <c r="I4" i="8"/>
  <c r="J513" i="10"/>
  <c r="I61" i="14"/>
  <c r="J165" i="14"/>
  <c r="J168" i="14" s="1"/>
  <c r="F1524" i="13"/>
  <c r="F1530" i="13" s="1"/>
  <c r="F1515" i="13"/>
  <c r="F1516" i="13"/>
  <c r="F1517" i="13"/>
  <c r="J145" i="14"/>
  <c r="J148" i="14" s="1"/>
  <c r="J150" i="14"/>
  <c r="J153" i="14" s="1"/>
  <c r="N1299" i="13"/>
  <c r="Z276" i="3"/>
  <c r="N35" i="19" s="1"/>
  <c r="Z288" i="3"/>
  <c r="Z282" i="3" s="1"/>
  <c r="Z279" i="3"/>
  <c r="K144" i="14"/>
  <c r="K161" i="14"/>
  <c r="K162" i="14" s="1"/>
  <c r="L159" i="14"/>
  <c r="K85" i="8"/>
  <c r="L137" i="2"/>
  <c r="L191" i="2"/>
  <c r="L136" i="14"/>
  <c r="L138" i="14"/>
  <c r="K34" i="20"/>
  <c r="Z41" i="3"/>
  <c r="N29" i="19"/>
  <c r="N30" i="19" s="1"/>
  <c r="Z254" i="3"/>
  <c r="Z261" i="3" s="1"/>
  <c r="I518" i="10"/>
  <c r="I521" i="10" s="1"/>
  <c r="I527" i="10" s="1"/>
  <c r="Z644" i="13"/>
  <c r="P644" i="13"/>
  <c r="P606" i="13"/>
  <c r="Z606" i="13"/>
  <c r="H5" i="8"/>
  <c r="F843" i="13"/>
  <c r="M152" i="10"/>
  <c r="M35" i="10"/>
  <c r="M40" i="10"/>
  <c r="M193" i="2"/>
  <c r="L34" i="20" s="1"/>
  <c r="M183" i="10"/>
  <c r="M52" i="10"/>
  <c r="G1518" i="13"/>
  <c r="K49" i="10"/>
  <c r="V34" i="20"/>
  <c r="J37" i="20"/>
  <c r="D14" i="15"/>
  <c r="D1270" i="13"/>
  <c r="E624" i="13"/>
  <c r="E586" i="13"/>
  <c r="I4" i="2"/>
  <c r="I18" i="2"/>
  <c r="I19" i="2" s="1"/>
  <c r="G35" i="22" s="1"/>
  <c r="AA7" i="3"/>
  <c r="AA11" i="3" s="1"/>
  <c r="Z11" i="3" s="1"/>
  <c r="L48" i="10"/>
  <c r="H1521" i="13"/>
  <c r="H1527" i="13" s="1"/>
  <c r="L53" i="10"/>
  <c r="L61" i="10"/>
  <c r="L57" i="10" s="1"/>
  <c r="I1461" i="13"/>
  <c r="J1483" i="13"/>
  <c r="J1484" i="13" s="1"/>
  <c r="M43" i="14"/>
  <c r="N104" i="10"/>
  <c r="N97" i="10"/>
  <c r="J1458" i="13" s="1"/>
  <c r="N108" i="10"/>
  <c r="N109" i="10" s="1"/>
  <c r="N479" i="10"/>
  <c r="N39" i="10"/>
  <c r="H1476" i="13"/>
  <c r="F1285" i="13"/>
  <c r="P1285" i="13" s="1"/>
  <c r="P1287" i="13"/>
  <c r="H20" i="20"/>
  <c r="H9" i="20"/>
  <c r="T6" i="20"/>
  <c r="H11" i="20"/>
  <c r="Z6" i="20"/>
  <c r="I42" i="20"/>
  <c r="U37" i="20"/>
  <c r="I38" i="20"/>
  <c r="AL43" i="14"/>
  <c r="L46" i="14"/>
  <c r="AL46" i="14" s="1"/>
  <c r="K291" i="10" l="1"/>
  <c r="J7" i="8"/>
  <c r="K205" i="10"/>
  <c r="K206" i="10" s="1"/>
  <c r="K480" i="10"/>
  <c r="J58" i="14"/>
  <c r="AJ58" i="14" s="1"/>
  <c r="I1476" i="13"/>
  <c r="I1465" i="13"/>
  <c r="I1471" i="13" s="1"/>
  <c r="I1466" i="13"/>
  <c r="I1472" i="13" s="1"/>
  <c r="M72" i="10"/>
  <c r="I1464" i="13"/>
  <c r="I1470" i="13" s="1"/>
  <c r="N71" i="10"/>
  <c r="N72" i="10" s="1"/>
  <c r="J1467" i="13"/>
  <c r="O71" i="10"/>
  <c r="K1467" i="13"/>
  <c r="J1461" i="13"/>
  <c r="K1461" i="13"/>
  <c r="K1477" i="13" s="1"/>
  <c r="K13" i="8"/>
  <c r="K8" i="8"/>
  <c r="L205" i="10" s="1"/>
  <c r="L206" i="10" s="1"/>
  <c r="L9" i="8"/>
  <c r="M36" i="10"/>
  <c r="M67" i="10"/>
  <c r="M68" i="10" s="1"/>
  <c r="L37" i="20"/>
  <c r="X34" i="20"/>
  <c r="J171" i="14"/>
  <c r="J174" i="14" s="1"/>
  <c r="J176" i="14" s="1"/>
  <c r="J97" i="14" s="1"/>
  <c r="I99" i="14"/>
  <c r="I114" i="14" s="1"/>
  <c r="AM43" i="14"/>
  <c r="M46" i="14"/>
  <c r="AM46" i="14" s="1"/>
  <c r="T20" i="20"/>
  <c r="Z20" i="20"/>
  <c r="M137" i="2"/>
  <c r="M138" i="14"/>
  <c r="M136" i="14"/>
  <c r="M191" i="2"/>
  <c r="L85" i="8"/>
  <c r="G843" i="13"/>
  <c r="I5" i="8"/>
  <c r="H1518" i="13"/>
  <c r="L49" i="10"/>
  <c r="N40" i="10"/>
  <c r="N35" i="10"/>
  <c r="N52" i="10"/>
  <c r="M9" i="8" s="1"/>
  <c r="N152" i="10"/>
  <c r="N193" i="2"/>
  <c r="N183" i="10"/>
  <c r="V37" i="20"/>
  <c r="J38" i="20"/>
  <c r="J42" i="20"/>
  <c r="L135" i="14"/>
  <c r="J4" i="2"/>
  <c r="J18" i="2"/>
  <c r="J19" i="2" s="1"/>
  <c r="H35" i="22" s="1"/>
  <c r="E14" i="15"/>
  <c r="F624" i="13"/>
  <c r="E1270" i="13"/>
  <c r="F586" i="13"/>
  <c r="I1477" i="13"/>
  <c r="I1478" i="13"/>
  <c r="Z12" i="3"/>
  <c r="Z7" i="3"/>
  <c r="I43" i="20"/>
  <c r="AA6" i="20"/>
  <c r="I20" i="20"/>
  <c r="I9" i="20"/>
  <c r="U6" i="20"/>
  <c r="I11" i="20"/>
  <c r="M61" i="10"/>
  <c r="M57" i="10" s="1"/>
  <c r="M53" i="10"/>
  <c r="M48" i="10"/>
  <c r="I1521" i="13"/>
  <c r="I1527" i="13" s="1"/>
  <c r="L58" i="10"/>
  <c r="I524" i="10"/>
  <c r="I523" i="10"/>
  <c r="I522" i="10"/>
  <c r="O183" i="10"/>
  <c r="O152" i="10"/>
  <c r="O35" i="10"/>
  <c r="O67" i="10" s="1"/>
  <c r="O40" i="10"/>
  <c r="O52" i="10"/>
  <c r="O193" i="2"/>
  <c r="O624" i="13"/>
  <c r="Y624" i="13"/>
  <c r="J1478" i="13"/>
  <c r="I16" i="10"/>
  <c r="H86" i="8"/>
  <c r="E622" i="13"/>
  <c r="I26" i="2"/>
  <c r="I14" i="2"/>
  <c r="AA6" i="3"/>
  <c r="F864" i="13"/>
  <c r="H73" i="14"/>
  <c r="D1268" i="13"/>
  <c r="I22" i="2"/>
  <c r="AA68" i="3" s="1"/>
  <c r="I9" i="2"/>
  <c r="I26" i="5"/>
  <c r="K4" i="15" s="1"/>
  <c r="I173" i="2"/>
  <c r="G62" i="13"/>
  <c r="G63" i="13" s="1"/>
  <c r="G3" i="18"/>
  <c r="I15" i="2"/>
  <c r="D13" i="15"/>
  <c r="E584" i="13"/>
  <c r="I34" i="2"/>
  <c r="G2" i="18"/>
  <c r="G9" i="18" s="1"/>
  <c r="I125" i="2"/>
  <c r="AN43" i="14"/>
  <c r="N46" i="14"/>
  <c r="AN46" i="14" s="1"/>
  <c r="K513" i="10"/>
  <c r="J61" i="14"/>
  <c r="J6" i="20"/>
  <c r="K5" i="2"/>
  <c r="J4" i="8"/>
  <c r="O586" i="13"/>
  <c r="Y586" i="13"/>
  <c r="G1524" i="13"/>
  <c r="G1530" i="13" s="1"/>
  <c r="G1515" i="13"/>
  <c r="G1517" i="13"/>
  <c r="G1516" i="13"/>
  <c r="L161" i="14"/>
  <c r="L162" i="14" s="1"/>
  <c r="M159" i="14"/>
  <c r="L144" i="14"/>
  <c r="J155" i="14"/>
  <c r="J96" i="14" s="1"/>
  <c r="K165" i="14"/>
  <c r="K168" i="14" s="1"/>
  <c r="I60" i="14"/>
  <c r="AI60" i="14" s="1"/>
  <c r="AI61" i="14"/>
  <c r="O109" i="10"/>
  <c r="Z9" i="20"/>
  <c r="T9" i="20"/>
  <c r="L480" i="10"/>
  <c r="K58" i="14"/>
  <c r="AK58" i="14" s="1"/>
  <c r="K7" i="8"/>
  <c r="N1270" i="13"/>
  <c r="D1277" i="13"/>
  <c r="N1277" i="13" s="1"/>
  <c r="K37" i="20"/>
  <c r="W34" i="20"/>
  <c r="K150" i="14"/>
  <c r="K153" i="14" s="1"/>
  <c r="K145" i="14"/>
  <c r="K148" i="14" s="1"/>
  <c r="J518" i="10"/>
  <c r="J521" i="10" s="1"/>
  <c r="J527" i="10" s="1"/>
  <c r="J99" i="14" l="1"/>
  <c r="J114" i="14" s="1"/>
  <c r="K1464" i="13"/>
  <c r="K1470" i="13" s="1"/>
  <c r="L291" i="10"/>
  <c r="O72" i="10"/>
  <c r="J1464" i="13"/>
  <c r="J1470" i="13" s="1"/>
  <c r="K1478" i="13"/>
  <c r="J1477" i="13"/>
  <c r="J1476" i="13"/>
  <c r="K14" i="8"/>
  <c r="K1476" i="13"/>
  <c r="K1465" i="13"/>
  <c r="K1471" i="13" s="1"/>
  <c r="K1466" i="13"/>
  <c r="K1472" i="13" s="1"/>
  <c r="J1466" i="13"/>
  <c r="J1472" i="13" s="1"/>
  <c r="J1465" i="13"/>
  <c r="J1471" i="13" s="1"/>
  <c r="L13" i="8"/>
  <c r="L8" i="8"/>
  <c r="L14" i="8" s="1"/>
  <c r="M13" i="8"/>
  <c r="M8" i="8"/>
  <c r="N9" i="8"/>
  <c r="N36" i="10"/>
  <c r="N67" i="10"/>
  <c r="J125" i="2"/>
  <c r="L42" i="20"/>
  <c r="X37" i="20"/>
  <c r="L38" i="20"/>
  <c r="O36" i="10"/>
  <c r="K155" i="14"/>
  <c r="K96" i="14" s="1"/>
  <c r="M135" i="14"/>
  <c r="K171" i="14"/>
  <c r="K174" i="14" s="1"/>
  <c r="K176" i="14" s="1"/>
  <c r="K97" i="14" s="1"/>
  <c r="I131" i="14"/>
  <c r="I120" i="14"/>
  <c r="I122" i="14" s="1"/>
  <c r="J20" i="20"/>
  <c r="V6" i="20"/>
  <c r="J9" i="20"/>
  <c r="J11" i="20"/>
  <c r="J43" i="20"/>
  <c r="AB6" i="20"/>
  <c r="E598" i="13"/>
  <c r="O584" i="13"/>
  <c r="Y584" i="13"/>
  <c r="Z68" i="3"/>
  <c r="AA69" i="3"/>
  <c r="O48" i="10"/>
  <c r="O61" i="10"/>
  <c r="O57" i="10" s="1"/>
  <c r="O53" i="10"/>
  <c r="AA9" i="20"/>
  <c r="U9" i="20"/>
  <c r="J523" i="10"/>
  <c r="J522" i="10"/>
  <c r="J524" i="10"/>
  <c r="J60" i="14"/>
  <c r="AJ60" i="14" s="1"/>
  <c r="AJ61" i="14"/>
  <c r="D1279" i="13"/>
  <c r="N1279" i="13" s="1"/>
  <c r="N1268" i="13"/>
  <c r="AA20" i="20"/>
  <c r="U20" i="20"/>
  <c r="E596" i="13"/>
  <c r="O596" i="13" s="1"/>
  <c r="H82" i="14"/>
  <c r="AH82" i="14" s="1"/>
  <c r="H22" i="20"/>
  <c r="G4" i="18"/>
  <c r="E634" i="13"/>
  <c r="O634" i="13" s="1"/>
  <c r="I16" i="2"/>
  <c r="AA59" i="3"/>
  <c r="AA60" i="3" s="1"/>
  <c r="I27" i="5"/>
  <c r="K5" i="15" s="1"/>
  <c r="D16" i="15"/>
  <c r="H76" i="14"/>
  <c r="H74" i="14"/>
  <c r="AH74" i="14" s="1"/>
  <c r="AH73" i="14"/>
  <c r="I1518" i="13"/>
  <c r="M49" i="10"/>
  <c r="Z586" i="13"/>
  <c r="P586" i="13"/>
  <c r="K518" i="10"/>
  <c r="K521" i="10" s="1"/>
  <c r="K527" i="10" s="1"/>
  <c r="E1277" i="13"/>
  <c r="O1277" i="13" s="1"/>
  <c r="O1270" i="13"/>
  <c r="H1524" i="13"/>
  <c r="H1530" i="13" s="1"/>
  <c r="H1516" i="13"/>
  <c r="H1517" i="13"/>
  <c r="H1515" i="13"/>
  <c r="K4" i="8"/>
  <c r="K61" i="14"/>
  <c r="K6" i="20"/>
  <c r="L513" i="10"/>
  <c r="L5" i="2"/>
  <c r="J120" i="14"/>
  <c r="J122" i="14" s="1"/>
  <c r="J131" i="14"/>
  <c r="AA81" i="3"/>
  <c r="AA33" i="3"/>
  <c r="M58" i="10"/>
  <c r="Z6" i="3"/>
  <c r="Z63" i="3"/>
  <c r="Z18" i="3"/>
  <c r="Z54" i="3"/>
  <c r="AU7" i="3"/>
  <c r="N6" i="19"/>
  <c r="N25" i="19" s="1"/>
  <c r="P624" i="13"/>
  <c r="Z624" i="13"/>
  <c r="I528" i="10"/>
  <c r="N137" i="2"/>
  <c r="N191" i="2"/>
  <c r="N136" i="14"/>
  <c r="N138" i="14"/>
  <c r="M85" i="8"/>
  <c r="L150" i="14"/>
  <c r="L153" i="14" s="1"/>
  <c r="L145" i="14"/>
  <c r="L148" i="14" s="1"/>
  <c r="N159" i="14"/>
  <c r="M144" i="14"/>
  <c r="M161" i="14"/>
  <c r="M162" i="14" s="1"/>
  <c r="H843" i="13"/>
  <c r="J5" i="8"/>
  <c r="AA71" i="3"/>
  <c r="I31" i="2"/>
  <c r="I32" i="2" s="1"/>
  <c r="K42" i="20"/>
  <c r="K38" i="20"/>
  <c r="W37" i="20"/>
  <c r="I150" i="2"/>
  <c r="I148" i="2" s="1"/>
  <c r="L165" i="14"/>
  <c r="L168" i="14" s="1"/>
  <c r="K4" i="2"/>
  <c r="K18" i="2"/>
  <c r="K19" i="2" s="1"/>
  <c r="I35" i="22" s="1"/>
  <c r="F14" i="15"/>
  <c r="G14" i="15" s="1"/>
  <c r="F1270" i="13"/>
  <c r="I40" i="2"/>
  <c r="I175" i="2" s="1"/>
  <c r="AA77" i="3"/>
  <c r="E636" i="13"/>
  <c r="O622" i="13"/>
  <c r="Y622" i="13"/>
  <c r="N85" i="8"/>
  <c r="O138" i="14"/>
  <c r="O191" i="2"/>
  <c r="O137" i="2"/>
  <c r="O136" i="14"/>
  <c r="H62" i="13"/>
  <c r="J173" i="2"/>
  <c r="G864" i="13"/>
  <c r="J15" i="2"/>
  <c r="H3" i="18"/>
  <c r="J34" i="2"/>
  <c r="F584" i="13"/>
  <c r="I86" i="8"/>
  <c r="H2" i="18"/>
  <c r="H9" i="18" s="1"/>
  <c r="J14" i="2"/>
  <c r="J16" i="10"/>
  <c r="J9" i="2"/>
  <c r="E13" i="15"/>
  <c r="F622" i="13"/>
  <c r="J26" i="2"/>
  <c r="J31" i="2" s="1"/>
  <c r="J32" i="2" s="1"/>
  <c r="J26" i="5"/>
  <c r="L4" i="15" s="1"/>
  <c r="E1268" i="13"/>
  <c r="J22" i="2"/>
  <c r="I73" i="14"/>
  <c r="N48" i="10"/>
  <c r="N49" i="10" s="1"/>
  <c r="N61" i="10"/>
  <c r="N57" i="10" s="1"/>
  <c r="N53" i="10"/>
  <c r="M205" i="10" l="1"/>
  <c r="M206" i="10" s="1"/>
  <c r="L58" i="14"/>
  <c r="AL58" i="14" s="1"/>
  <c r="M291" i="10"/>
  <c r="L7" i="8"/>
  <c r="L6" i="20" s="1"/>
  <c r="L11" i="20" s="1"/>
  <c r="M480" i="10"/>
  <c r="M14" i="8"/>
  <c r="N13" i="8"/>
  <c r="N8" i="8"/>
  <c r="O291" i="10" s="1"/>
  <c r="K125" i="2"/>
  <c r="N68" i="10"/>
  <c r="O68" i="10"/>
  <c r="K99" i="14"/>
  <c r="K114" i="14" s="1"/>
  <c r="K131" i="14" s="1"/>
  <c r="L43" i="20"/>
  <c r="X6" i="20"/>
  <c r="L9" i="20"/>
  <c r="X9" i="20" s="1"/>
  <c r="L20" i="20"/>
  <c r="X20" i="20" s="1"/>
  <c r="N135" i="14"/>
  <c r="O135" i="14"/>
  <c r="O58" i="10"/>
  <c r="L155" i="14"/>
  <c r="L96" i="14" s="1"/>
  <c r="P584" i="13"/>
  <c r="Z584" i="13"/>
  <c r="F598" i="13"/>
  <c r="E1279" i="13"/>
  <c r="O1279" i="13" s="1"/>
  <c r="O1268" i="13"/>
  <c r="N62" i="13"/>
  <c r="H63" i="13"/>
  <c r="O636" i="13"/>
  <c r="Y636" i="13"/>
  <c r="L4" i="2"/>
  <c r="L18" i="2"/>
  <c r="L19" i="2" s="1"/>
  <c r="J35" i="22" s="1"/>
  <c r="AA78" i="3"/>
  <c r="Z77" i="3"/>
  <c r="Z65" i="3"/>
  <c r="N10" i="19"/>
  <c r="L518" i="10"/>
  <c r="L521" i="10" s="1"/>
  <c r="L527" i="10" s="1"/>
  <c r="I1524" i="13"/>
  <c r="I1530" i="13" s="1"/>
  <c r="I1517" i="13"/>
  <c r="I1516" i="13"/>
  <c r="I1515" i="13"/>
  <c r="F868" i="13"/>
  <c r="G43" i="22"/>
  <c r="D17" i="15"/>
  <c r="Y598" i="13"/>
  <c r="O598" i="13"/>
  <c r="I53" i="2"/>
  <c r="E638" i="13"/>
  <c r="E600" i="13"/>
  <c r="H84" i="14"/>
  <c r="AH84" i="14" s="1"/>
  <c r="AA83" i="3"/>
  <c r="AA84" i="3" s="1"/>
  <c r="Z81" i="3"/>
  <c r="Z454" i="3"/>
  <c r="AU6" i="3"/>
  <c r="Z53" i="3"/>
  <c r="Z56" i="3" s="1"/>
  <c r="Z33" i="3"/>
  <c r="Z59" i="3"/>
  <c r="N4" i="19"/>
  <c r="Z39" i="3"/>
  <c r="N58" i="10"/>
  <c r="Z622" i="13"/>
  <c r="F636" i="13"/>
  <c r="P622" i="13"/>
  <c r="J40" i="2"/>
  <c r="J47" i="2" s="1"/>
  <c r="F1277" i="13"/>
  <c r="P1277" i="13" s="1"/>
  <c r="P1270" i="13"/>
  <c r="M150" i="14"/>
  <c r="M153" i="14" s="1"/>
  <c r="M145" i="14"/>
  <c r="M148" i="14" s="1"/>
  <c r="AK61" i="14"/>
  <c r="K60" i="14"/>
  <c r="AK60" i="14" s="1"/>
  <c r="O159" i="14"/>
  <c r="N144" i="14"/>
  <c r="N161" i="14"/>
  <c r="N162" i="14" s="1"/>
  <c r="I843" i="13"/>
  <c r="K5" i="8"/>
  <c r="K524" i="10"/>
  <c r="K523" i="10"/>
  <c r="K522" i="10"/>
  <c r="H77" i="14"/>
  <c r="AH77" i="14" s="1"/>
  <c r="AH76" i="14"/>
  <c r="Z22" i="20"/>
  <c r="H23" i="20"/>
  <c r="T22" i="20"/>
  <c r="O49" i="10"/>
  <c r="I47" i="2"/>
  <c r="AB9" i="20"/>
  <c r="V9" i="20"/>
  <c r="I74" i="14"/>
  <c r="AI74" i="14" s="1"/>
  <c r="AI73" i="14"/>
  <c r="I76" i="14"/>
  <c r="M513" i="10"/>
  <c r="M5" i="2"/>
  <c r="L4" i="8"/>
  <c r="L61" i="14"/>
  <c r="J528" i="10"/>
  <c r="Z69" i="3"/>
  <c r="M165" i="14"/>
  <c r="M168" i="14" s="1"/>
  <c r="K43" i="20"/>
  <c r="K20" i="20"/>
  <c r="W20" i="20" s="1"/>
  <c r="K9" i="20"/>
  <c r="W9" i="20" s="1"/>
  <c r="W6" i="20"/>
  <c r="K11" i="20"/>
  <c r="M7" i="8"/>
  <c r="N291" i="10"/>
  <c r="N205" i="10"/>
  <c r="N206" i="10" s="1"/>
  <c r="M58" i="14"/>
  <c r="AM58" i="14" s="1"/>
  <c r="N480" i="10"/>
  <c r="I22" i="20"/>
  <c r="H4" i="18"/>
  <c r="J27" i="5"/>
  <c r="L5" i="15" s="1"/>
  <c r="I82" i="14"/>
  <c r="AI82" i="14" s="1"/>
  <c r="E16" i="15"/>
  <c r="J16" i="2"/>
  <c r="F634" i="13"/>
  <c r="P634" i="13" s="1"/>
  <c r="F596" i="13"/>
  <c r="P596" i="13" s="1"/>
  <c r="H864" i="13"/>
  <c r="K15" i="2"/>
  <c r="K34" i="2"/>
  <c r="I3" i="18"/>
  <c r="K14" i="2"/>
  <c r="F13" i="15"/>
  <c r="G13" i="15" s="1"/>
  <c r="J86" i="8"/>
  <c r="K9" i="2"/>
  <c r="K26" i="5"/>
  <c r="M4" i="15" s="1"/>
  <c r="K16" i="10"/>
  <c r="K26" i="2"/>
  <c r="K31" i="2" s="1"/>
  <c r="K32" i="2" s="1"/>
  <c r="J73" i="14"/>
  <c r="F1268" i="13"/>
  <c r="K22" i="2"/>
  <c r="I62" i="13"/>
  <c r="I63" i="13" s="1"/>
  <c r="K173" i="2"/>
  <c r="I2" i="18"/>
  <c r="I9" i="18" s="1"/>
  <c r="J150" i="2"/>
  <c r="J148" i="2" s="1"/>
  <c r="L171" i="14"/>
  <c r="L174" i="14" s="1"/>
  <c r="L176" i="14" s="1"/>
  <c r="L97" i="14" s="1"/>
  <c r="Z71" i="3"/>
  <c r="AA72" i="3"/>
  <c r="AB20" i="20"/>
  <c r="V20" i="20"/>
  <c r="O205" i="10" l="1"/>
  <c r="O206" i="10" s="1"/>
  <c r="N58" i="14"/>
  <c r="AN58" i="14" s="1"/>
  <c r="O480" i="10"/>
  <c r="N14" i="8"/>
  <c r="L99" i="14"/>
  <c r="L114" i="14" s="1"/>
  <c r="L120" i="14" s="1"/>
  <c r="L122" i="14" s="1"/>
  <c r="N7" i="8"/>
  <c r="N4" i="8" s="1"/>
  <c r="K120" i="14"/>
  <c r="K122" i="14" s="1"/>
  <c r="L125" i="2"/>
  <c r="J175" i="2"/>
  <c r="M518" i="10"/>
  <c r="M521" i="10" s="1"/>
  <c r="M527" i="10" s="1"/>
  <c r="O161" i="14"/>
  <c r="O162" i="14" s="1"/>
  <c r="O144" i="14"/>
  <c r="D1281" i="13"/>
  <c r="N1281" i="13" s="1"/>
  <c r="AA90" i="3"/>
  <c r="I55" i="2"/>
  <c r="I62" i="2" s="1"/>
  <c r="H86" i="14"/>
  <c r="AH86" i="14" s="1"/>
  <c r="D20" i="15"/>
  <c r="H27" i="20"/>
  <c r="P1268" i="13"/>
  <c r="F1279" i="13"/>
  <c r="P1279" i="13" s="1"/>
  <c r="H43" i="22"/>
  <c r="G868" i="13"/>
  <c r="E17" i="15"/>
  <c r="M171" i="14"/>
  <c r="M174" i="14" s="1"/>
  <c r="M176" i="14" s="1"/>
  <c r="M97" i="14" s="1"/>
  <c r="K528" i="10"/>
  <c r="Z636" i="13"/>
  <c r="P636" i="13"/>
  <c r="K40" i="2"/>
  <c r="J84" i="14" s="1"/>
  <c r="AJ84" i="14" s="1"/>
  <c r="N513" i="10"/>
  <c r="N518" i="10" s="1"/>
  <c r="M4" i="8"/>
  <c r="M61" i="14"/>
  <c r="N5" i="2"/>
  <c r="M155" i="14"/>
  <c r="M96" i="14" s="1"/>
  <c r="L524" i="10"/>
  <c r="L523" i="10"/>
  <c r="L522" i="10"/>
  <c r="Z72" i="3"/>
  <c r="Z74" i="3"/>
  <c r="Z75" i="3" s="1"/>
  <c r="J76" i="14"/>
  <c r="J74" i="14"/>
  <c r="AJ74" i="14" s="1"/>
  <c r="AJ73" i="14"/>
  <c r="I77" i="14"/>
  <c r="AI77" i="14" s="1"/>
  <c r="AI76" i="14"/>
  <c r="J82" i="14"/>
  <c r="AJ82" i="14" s="1"/>
  <c r="J22" i="20"/>
  <c r="I4" i="18"/>
  <c r="K16" i="2"/>
  <c r="K27" i="5"/>
  <c r="M5" i="15" s="1"/>
  <c r="F16" i="15"/>
  <c r="G16" i="15" s="1"/>
  <c r="AL61" i="14"/>
  <c r="L60" i="14"/>
  <c r="AL60" i="14" s="1"/>
  <c r="P598" i="13"/>
  <c r="Z598" i="13"/>
  <c r="K150" i="2"/>
  <c r="K148" i="2" s="1"/>
  <c r="J28" i="5"/>
  <c r="F640" i="13"/>
  <c r="F602" i="13"/>
  <c r="J48" i="2"/>
  <c r="J50" i="2"/>
  <c r="H5" i="18" s="1"/>
  <c r="AA22" i="20"/>
  <c r="I23" i="20"/>
  <c r="U22" i="20"/>
  <c r="J843" i="13"/>
  <c r="L5" i="8"/>
  <c r="N165" i="14"/>
  <c r="N168" i="14" s="1"/>
  <c r="N14" i="19"/>
  <c r="N15" i="19" s="1"/>
  <c r="Z60" i="3"/>
  <c r="O600" i="13"/>
  <c r="Y600" i="13"/>
  <c r="Z83" i="3"/>
  <c r="Z78" i="3"/>
  <c r="L16" i="10"/>
  <c r="L9" i="2"/>
  <c r="J62" i="13"/>
  <c r="J63" i="13" s="1"/>
  <c r="L26" i="2"/>
  <c r="L31" i="2" s="1"/>
  <c r="L32" i="2" s="1"/>
  <c r="I864" i="13"/>
  <c r="L22" i="2"/>
  <c r="J3" i="18"/>
  <c r="L173" i="2"/>
  <c r="L34" i="2"/>
  <c r="K73" i="14"/>
  <c r="L15" i="2"/>
  <c r="L26" i="5"/>
  <c r="K86" i="8"/>
  <c r="J2" i="18"/>
  <c r="J9" i="18" s="1"/>
  <c r="L14" i="2"/>
  <c r="M18" i="2"/>
  <c r="M19" i="2" s="1"/>
  <c r="M4" i="2"/>
  <c r="E602" i="13"/>
  <c r="E640" i="13"/>
  <c r="I50" i="2"/>
  <c r="G5" i="18" s="1"/>
  <c r="I48" i="2"/>
  <c r="I28" i="5"/>
  <c r="N150" i="14"/>
  <c r="N153" i="14" s="1"/>
  <c r="N145" i="14"/>
  <c r="N148" i="14" s="1"/>
  <c r="J53" i="2"/>
  <c r="F638" i="13"/>
  <c r="F600" i="13"/>
  <c r="I84" i="14"/>
  <c r="AI84" i="14" s="1"/>
  <c r="O638" i="13"/>
  <c r="Y638" i="13"/>
  <c r="N61" i="14" l="1"/>
  <c r="M125" i="2"/>
  <c r="O5" i="2"/>
  <c r="L131" i="14"/>
  <c r="O513" i="10"/>
  <c r="O518" i="10" s="1"/>
  <c r="O522" i="10" s="1"/>
  <c r="M99" i="14"/>
  <c r="M114" i="14" s="1"/>
  <c r="M120" i="14" s="1"/>
  <c r="M122" i="14" s="1"/>
  <c r="I226" i="2"/>
  <c r="I92" i="2"/>
  <c r="I97" i="2" s="1"/>
  <c r="L40" i="2"/>
  <c r="K84" i="14" s="1"/>
  <c r="AK84" i="14" s="1"/>
  <c r="L528" i="10"/>
  <c r="N155" i="14"/>
  <c r="N96" i="14" s="1"/>
  <c r="K47" i="2"/>
  <c r="K28" i="5" s="1"/>
  <c r="AN61" i="14"/>
  <c r="N60" i="14"/>
  <c r="AN60" i="14" s="1"/>
  <c r="N521" i="10"/>
  <c r="N527" i="10" s="1"/>
  <c r="N524" i="10"/>
  <c r="N523" i="10"/>
  <c r="N522" i="10"/>
  <c r="I43" i="22"/>
  <c r="F17" i="15"/>
  <c r="H868" i="13"/>
  <c r="O4" i="2"/>
  <c r="O18" i="2"/>
  <c r="O19" i="2" s="1"/>
  <c r="Z600" i="13"/>
  <c r="P600" i="13"/>
  <c r="Y640" i="13"/>
  <c r="O640" i="13"/>
  <c r="L16" i="2"/>
  <c r="L27" i="5"/>
  <c r="K82" i="14"/>
  <c r="AK82" i="14" s="1"/>
  <c r="K22" i="20"/>
  <c r="J4" i="18"/>
  <c r="L47" i="2"/>
  <c r="O150" i="14"/>
  <c r="O153" i="14" s="1"/>
  <c r="O145" i="14"/>
  <c r="O148" i="14" s="1"/>
  <c r="P638" i="13"/>
  <c r="Z638" i="13"/>
  <c r="O602" i="13"/>
  <c r="Y602" i="13"/>
  <c r="K74" i="14"/>
  <c r="AK74" i="14" s="1"/>
  <c r="K76" i="14"/>
  <c r="AK73" i="14"/>
  <c r="N171" i="14"/>
  <c r="N174" i="14" s="1"/>
  <c r="N176" i="14" s="1"/>
  <c r="N97" i="14" s="1"/>
  <c r="V22" i="20"/>
  <c r="AB22" i="20"/>
  <c r="J23" i="20"/>
  <c r="N5" i="8"/>
  <c r="L843" i="13"/>
  <c r="H29" i="20"/>
  <c r="E642" i="13"/>
  <c r="I124" i="2"/>
  <c r="I123" i="2" s="1"/>
  <c r="D21" i="15"/>
  <c r="K6" i="15" s="1"/>
  <c r="E604" i="13"/>
  <c r="I38" i="5"/>
  <c r="I81" i="2"/>
  <c r="AA99" i="3"/>
  <c r="AA100" i="3" s="1"/>
  <c r="H88" i="14"/>
  <c r="AH88" i="14" s="1"/>
  <c r="I80" i="2"/>
  <c r="I30" i="5"/>
  <c r="D1283" i="13"/>
  <c r="N1283" i="13" s="1"/>
  <c r="I66" i="2"/>
  <c r="G6" i="18"/>
  <c r="I63" i="2"/>
  <c r="H89" i="14" s="1"/>
  <c r="O165" i="14"/>
  <c r="O168" i="14" s="1"/>
  <c r="P602" i="13"/>
  <c r="Z602" i="13"/>
  <c r="H25" i="20"/>
  <c r="T25" i="20" s="1"/>
  <c r="T27" i="20"/>
  <c r="P640" i="13"/>
  <c r="Z640" i="13"/>
  <c r="N4" i="2"/>
  <c r="N18" i="2"/>
  <c r="N19" i="2" s="1"/>
  <c r="M524" i="10"/>
  <c r="M523" i="10"/>
  <c r="M522" i="10"/>
  <c r="I27" i="20"/>
  <c r="I25" i="20" s="1"/>
  <c r="I86" i="14"/>
  <c r="AI86" i="14" s="1"/>
  <c r="E1281" i="13"/>
  <c r="O1281" i="13" s="1"/>
  <c r="J55" i="2"/>
  <c r="J60" i="2" s="1"/>
  <c r="E20" i="15"/>
  <c r="K62" i="13"/>
  <c r="K63" i="13" s="1"/>
  <c r="J864" i="13"/>
  <c r="M9" i="2"/>
  <c r="K2" i="18"/>
  <c r="K9" i="18" s="1"/>
  <c r="K3" i="18"/>
  <c r="M26" i="2"/>
  <c r="M31" i="2" s="1"/>
  <c r="M32" i="2" s="1"/>
  <c r="M22" i="2"/>
  <c r="M16" i="10"/>
  <c r="M173" i="2"/>
  <c r="L73" i="14"/>
  <c r="M34" i="2"/>
  <c r="M26" i="5"/>
  <c r="M15" i="2"/>
  <c r="L22" i="20" s="1"/>
  <c r="L86" i="8"/>
  <c r="M14" i="2"/>
  <c r="L150" i="2"/>
  <c r="L148" i="2" s="1"/>
  <c r="Z90" i="3"/>
  <c r="N16" i="19"/>
  <c r="N17" i="19" s="1"/>
  <c r="Z84" i="3"/>
  <c r="Z88" i="3"/>
  <c r="K53" i="2"/>
  <c r="J77" i="14"/>
  <c r="AJ77" i="14" s="1"/>
  <c r="AJ76" i="14"/>
  <c r="AM61" i="14"/>
  <c r="M60" i="14"/>
  <c r="AM60" i="14" s="1"/>
  <c r="K175" i="2"/>
  <c r="K843" i="13"/>
  <c r="M5" i="8"/>
  <c r="AA92" i="3"/>
  <c r="I60" i="2"/>
  <c r="O523" i="10" l="1"/>
  <c r="O524" i="10"/>
  <c r="O521" i="10"/>
  <c r="O527" i="10" s="1"/>
  <c r="L53" i="2"/>
  <c r="K86" i="14" s="1"/>
  <c r="AK86" i="14" s="1"/>
  <c r="M131" i="14"/>
  <c r="L175" i="2"/>
  <c r="K50" i="2"/>
  <c r="I5" i="18" s="1"/>
  <c r="K48" i="2"/>
  <c r="L23" i="20"/>
  <c r="X22" i="20"/>
  <c r="N99" i="14"/>
  <c r="N114" i="14" s="1"/>
  <c r="N131" i="14" s="1"/>
  <c r="D22" i="15"/>
  <c r="I85" i="2"/>
  <c r="O171" i="14"/>
  <c r="O174" i="14" s="1"/>
  <c r="O176" i="14" s="1"/>
  <c r="O97" i="14" s="1"/>
  <c r="M40" i="2"/>
  <c r="L84" i="14" s="1"/>
  <c r="AL84" i="14" s="1"/>
  <c r="J62" i="2"/>
  <c r="N528" i="10"/>
  <c r="U25" i="20"/>
  <c r="U27" i="20"/>
  <c r="G3" i="22"/>
  <c r="L50" i="2"/>
  <c r="J5" i="18" s="1"/>
  <c r="L28" i="5"/>
  <c r="L48" i="2"/>
  <c r="L74" i="14"/>
  <c r="AL74" i="14" s="1"/>
  <c r="AL73" i="14"/>
  <c r="L76" i="14"/>
  <c r="M528" i="10"/>
  <c r="O642" i="13"/>
  <c r="Y642" i="13"/>
  <c r="O155" i="14"/>
  <c r="O96" i="14" s="1"/>
  <c r="K4" i="18"/>
  <c r="M16" i="2"/>
  <c r="J868" i="13" s="1"/>
  <c r="L82" i="14"/>
  <c r="AL82" i="14" s="1"/>
  <c r="M27" i="5"/>
  <c r="H31" i="20"/>
  <c r="T31" i="20" s="1"/>
  <c r="I31" i="5"/>
  <c r="M150" i="2"/>
  <c r="M148" i="2" s="1"/>
  <c r="I229" i="2"/>
  <c r="K23" i="20"/>
  <c r="W22" i="20"/>
  <c r="Y604" i="13"/>
  <c r="O604" i="13"/>
  <c r="H30" i="20"/>
  <c r="T29" i="20"/>
  <c r="K77" i="14"/>
  <c r="AK77" i="14" s="1"/>
  <c r="AK76" i="14"/>
  <c r="M3" i="18"/>
  <c r="O9" i="2"/>
  <c r="M2" i="18"/>
  <c r="M9" i="18" s="1"/>
  <c r="O26" i="2"/>
  <c r="O31" i="2" s="1"/>
  <c r="O32" i="2" s="1"/>
  <c r="O26" i="5"/>
  <c r="N86" i="8"/>
  <c r="L864" i="13"/>
  <c r="O16" i="10"/>
  <c r="O22" i="2"/>
  <c r="O173" i="2"/>
  <c r="O15" i="2"/>
  <c r="N73" i="14"/>
  <c r="O34" i="2"/>
  <c r="O14" i="2"/>
  <c r="M62" i="13"/>
  <c r="Z92" i="3"/>
  <c r="AA93" i="3"/>
  <c r="J27" i="20"/>
  <c r="F1281" i="13"/>
  <c r="P1281" i="13" s="1"/>
  <c r="K55" i="2"/>
  <c r="K60" i="2" s="1"/>
  <c r="F20" i="15"/>
  <c r="J86" i="14"/>
  <c r="AJ86" i="14" s="1"/>
  <c r="L3" i="18"/>
  <c r="N9" i="2"/>
  <c r="L2" i="18"/>
  <c r="L9" i="18" s="1"/>
  <c r="N26" i="2"/>
  <c r="N31" i="2" s="1"/>
  <c r="N32" i="2" s="1"/>
  <c r="N16" i="10"/>
  <c r="N22" i="2"/>
  <c r="N173" i="2"/>
  <c r="M73" i="14"/>
  <c r="N15" i="2"/>
  <c r="N26" i="5"/>
  <c r="N34" i="2"/>
  <c r="L62" i="13"/>
  <c r="L63" i="13" s="1"/>
  <c r="M86" i="8"/>
  <c r="K864" i="13"/>
  <c r="N14" i="2"/>
  <c r="O528" i="10"/>
  <c r="J43" i="22"/>
  <c r="I868" i="13"/>
  <c r="N125" i="2"/>
  <c r="O125" i="2" s="1"/>
  <c r="L55" i="2" l="1"/>
  <c r="L60" i="2" s="1"/>
  <c r="K27" i="20"/>
  <c r="N120" i="14"/>
  <c r="N122" i="14" s="1"/>
  <c r="J226" i="2"/>
  <c r="J92" i="2"/>
  <c r="J97" i="2" s="1"/>
  <c r="O99" i="14"/>
  <c r="O114" i="14" s="1"/>
  <c r="O120" i="14" s="1"/>
  <c r="O122" i="14" s="1"/>
  <c r="I224" i="2"/>
  <c r="G12" i="18" s="1"/>
  <c r="H45" i="20"/>
  <c r="H46" i="20" s="1"/>
  <c r="F642" i="13"/>
  <c r="P642" i="13" s="1"/>
  <c r="M175" i="2"/>
  <c r="J66" i="2"/>
  <c r="J31" i="5" s="1"/>
  <c r="E21" i="15"/>
  <c r="L6" i="15" s="1"/>
  <c r="J30" i="5"/>
  <c r="H3" i="22" s="1"/>
  <c r="I29" i="20"/>
  <c r="H6" i="18"/>
  <c r="J124" i="2"/>
  <c r="J123" i="2" s="1"/>
  <c r="E1283" i="13"/>
  <c r="O1283" i="13" s="1"/>
  <c r="J63" i="2"/>
  <c r="I89" i="14" s="1"/>
  <c r="F604" i="13"/>
  <c r="P604" i="13" s="1"/>
  <c r="J38" i="5"/>
  <c r="J80" i="2"/>
  <c r="J81" i="2"/>
  <c r="I88" i="14"/>
  <c r="AI88" i="14" s="1"/>
  <c r="M53" i="2"/>
  <c r="M47" i="2"/>
  <c r="M50" i="2" s="1"/>
  <c r="K5" i="18" s="1"/>
  <c r="N150" i="2"/>
  <c r="N148" i="2" s="1"/>
  <c r="O40" i="2"/>
  <c r="N84" i="14" s="1"/>
  <c r="AN84" i="14" s="1"/>
  <c r="AN73" i="14"/>
  <c r="N76" i="14"/>
  <c r="N74" i="14"/>
  <c r="AN74" i="14" s="1"/>
  <c r="O150" i="2"/>
  <c r="O148" i="2" s="1"/>
  <c r="W27" i="20"/>
  <c r="K25" i="20"/>
  <c r="W25" i="20" s="1"/>
  <c r="J25" i="20"/>
  <c r="V25" i="20" s="1"/>
  <c r="V27" i="20"/>
  <c r="AL76" i="14"/>
  <c r="L77" i="14"/>
  <c r="AL77" i="14" s="1"/>
  <c r="N82" i="14"/>
  <c r="AN82" i="14" s="1"/>
  <c r="O27" i="5"/>
  <c r="M4" i="18"/>
  <c r="O16" i="2"/>
  <c r="L868" i="13" s="1"/>
  <c r="N40" i="2"/>
  <c r="M84" i="14" s="1"/>
  <c r="AM84" i="14" s="1"/>
  <c r="J229" i="2"/>
  <c r="M82" i="14"/>
  <c r="AM82" i="14" s="1"/>
  <c r="N27" i="5"/>
  <c r="L4" i="18"/>
  <c r="N16" i="2"/>
  <c r="K868" i="13" s="1"/>
  <c r="Z93" i="3"/>
  <c r="Z96" i="3"/>
  <c r="M63" i="13"/>
  <c r="M74" i="14"/>
  <c r="AM74" i="14" s="1"/>
  <c r="AM73" i="14"/>
  <c r="M76" i="14"/>
  <c r="K62" i="2"/>
  <c r="Z99" i="3"/>
  <c r="O131" i="14" l="1"/>
  <c r="I31" i="20"/>
  <c r="U31" i="20" s="1"/>
  <c r="L62" i="2"/>
  <c r="L92" i="2" s="1"/>
  <c r="L97" i="2" s="1"/>
  <c r="I32" i="5"/>
  <c r="G19" i="22" s="1"/>
  <c r="I5" i="17"/>
  <c r="I33" i="5"/>
  <c r="I91" i="2"/>
  <c r="K226" i="2"/>
  <c r="K92" i="2"/>
  <c r="K97" i="2" s="1"/>
  <c r="Z642" i="13"/>
  <c r="Z604" i="13"/>
  <c r="M55" i="2"/>
  <c r="M60" i="2" s="1"/>
  <c r="L27" i="20"/>
  <c r="U29" i="20"/>
  <c r="J224" i="2"/>
  <c r="I45" i="20"/>
  <c r="I46" i="20" s="1"/>
  <c r="I30" i="20"/>
  <c r="E22" i="15"/>
  <c r="J85" i="2"/>
  <c r="L86" i="14"/>
  <c r="AL86" i="14" s="1"/>
  <c r="M48" i="2"/>
  <c r="M28" i="5"/>
  <c r="O175" i="2"/>
  <c r="N47" i="2"/>
  <c r="N50" i="2" s="1"/>
  <c r="L5" i="18" s="1"/>
  <c r="N53" i="2"/>
  <c r="M86" i="14" s="1"/>
  <c r="AM86" i="14" s="1"/>
  <c r="F21" i="15"/>
  <c r="M6" i="15" s="1"/>
  <c r="K81" i="2"/>
  <c r="K80" i="2"/>
  <c r="K66" i="2"/>
  <c r="K63" i="2"/>
  <c r="J89" i="14" s="1"/>
  <c r="I6" i="18"/>
  <c r="K38" i="5"/>
  <c r="K124" i="2"/>
  <c r="K123" i="2" s="1"/>
  <c r="F1283" i="13"/>
  <c r="P1283" i="13" s="1"/>
  <c r="J88" i="14"/>
  <c r="AJ88" i="14" s="1"/>
  <c r="K30" i="5"/>
  <c r="I3" i="22" s="1"/>
  <c r="J29" i="20"/>
  <c r="O47" i="2"/>
  <c r="K29" i="20"/>
  <c r="J6" i="18"/>
  <c r="L80" i="2"/>
  <c r="L63" i="2"/>
  <c r="K89" i="14" s="1"/>
  <c r="L66" i="2"/>
  <c r="K88" i="14"/>
  <c r="AK88" i="14" s="1"/>
  <c r="L30" i="5"/>
  <c r="J3" i="22" s="1"/>
  <c r="L124" i="2"/>
  <c r="L123" i="2" s="1"/>
  <c r="L38" i="5"/>
  <c r="Z100" i="3"/>
  <c r="N20" i="19" s="1"/>
  <c r="N19" i="19"/>
  <c r="N956" i="13"/>
  <c r="Z104" i="3"/>
  <c r="Z113" i="3"/>
  <c r="Z110" i="3" s="1"/>
  <c r="M77" i="14"/>
  <c r="AM77" i="14" s="1"/>
  <c r="AM76" i="14"/>
  <c r="O53" i="2"/>
  <c r="N77" i="14"/>
  <c r="AN77" i="14" s="1"/>
  <c r="AN76" i="14"/>
  <c r="N175" i="2"/>
  <c r="N18" i="19"/>
  <c r="Z97" i="3"/>
  <c r="L81" i="2" l="1"/>
  <c r="L84" i="2" s="1"/>
  <c r="L86" i="2" s="1"/>
  <c r="I93" i="2"/>
  <c r="I96" i="2"/>
  <c r="I98" i="2" s="1"/>
  <c r="J33" i="5"/>
  <c r="J91" i="2"/>
  <c r="J32" i="5"/>
  <c r="H19" i="22" s="1"/>
  <c r="J5" i="17"/>
  <c r="H12" i="18"/>
  <c r="M62" i="2"/>
  <c r="L25" i="20"/>
  <c r="X25" i="20" s="1"/>
  <c r="X27" i="20"/>
  <c r="N48" i="2"/>
  <c r="L226" i="2"/>
  <c r="L68" i="5"/>
  <c r="F22" i="15"/>
  <c r="K85" i="2"/>
  <c r="N28" i="5"/>
  <c r="N55" i="2"/>
  <c r="N60" i="2" s="1"/>
  <c r="K229" i="2"/>
  <c r="O55" i="2"/>
  <c r="O60" i="2" s="1"/>
  <c r="N86" i="14"/>
  <c r="AN86" i="14" s="1"/>
  <c r="K31" i="20"/>
  <c r="W31" i="20" s="1"/>
  <c r="L31" i="5"/>
  <c r="J30" i="20"/>
  <c r="V29" i="20"/>
  <c r="J31" i="20"/>
  <c r="V31" i="20" s="1"/>
  <c r="K31" i="5"/>
  <c r="N957" i="13"/>
  <c r="Z105" i="3"/>
  <c r="N22" i="19"/>
  <c r="Z111" i="3"/>
  <c r="K30" i="20"/>
  <c r="W29" i="20"/>
  <c r="O48" i="2"/>
  <c r="O50" i="2"/>
  <c r="M5" i="18" s="1"/>
  <c r="O28" i="5"/>
  <c r="J93" i="2" l="1"/>
  <c r="J96" i="2"/>
  <c r="J98" i="2" s="1"/>
  <c r="M66" i="2"/>
  <c r="M92" i="2"/>
  <c r="M81" i="2"/>
  <c r="M84" i="2" s="1"/>
  <c r="M86" i="2" s="1"/>
  <c r="M226" i="2" s="1"/>
  <c r="M38" i="5"/>
  <c r="L29" i="20"/>
  <c r="X29" i="20" s="1"/>
  <c r="M63" i="2"/>
  <c r="L89" i="14" s="1"/>
  <c r="L88" i="14"/>
  <c r="AL88" i="14" s="1"/>
  <c r="M30" i="5"/>
  <c r="K6" i="18"/>
  <c r="M80" i="2"/>
  <c r="M124" i="2"/>
  <c r="M123" i="2" s="1"/>
  <c r="L31" i="20"/>
  <c r="X31" i="20" s="1"/>
  <c r="M31" i="5"/>
  <c r="K224" i="2"/>
  <c r="J45" i="20"/>
  <c r="J46" i="20" s="1"/>
  <c r="O62" i="2"/>
  <c r="N62" i="2"/>
  <c r="L229" i="2"/>
  <c r="N21" i="19"/>
  <c r="N23" i="19"/>
  <c r="L30" i="20" l="1"/>
  <c r="M107" i="2"/>
  <c r="K33" i="5"/>
  <c r="K91" i="2"/>
  <c r="O66" i="2"/>
  <c r="O31" i="5" s="1"/>
  <c r="O92" i="2"/>
  <c r="O107" i="2" s="1"/>
  <c r="M68" i="5"/>
  <c r="N63" i="2"/>
  <c r="M89" i="14" s="1"/>
  <c r="N92" i="2"/>
  <c r="K32" i="5"/>
  <c r="I19" i="22" s="1"/>
  <c r="I12" i="18"/>
  <c r="O80" i="2"/>
  <c r="K5" i="17"/>
  <c r="E42" i="16"/>
  <c r="F42" i="16" s="1"/>
  <c r="N80" i="2"/>
  <c r="N88" i="14"/>
  <c r="AN88" i="14" s="1"/>
  <c r="N124" i="2"/>
  <c r="N123" i="2" s="1"/>
  <c r="O124" i="2"/>
  <c r="O123" i="2" s="1"/>
  <c r="O63" i="2"/>
  <c r="N89" i="14" s="1"/>
  <c r="M6" i="18"/>
  <c r="L224" i="2"/>
  <c r="K45" i="20"/>
  <c r="K46" i="20" s="1"/>
  <c r="O38" i="5"/>
  <c r="C47" i="5" s="1"/>
  <c r="C48" i="5" s="1"/>
  <c r="N81" i="2"/>
  <c r="N84" i="2" s="1"/>
  <c r="N86" i="2" s="1"/>
  <c r="N68" i="5" s="1"/>
  <c r="O30" i="5"/>
  <c r="M88" i="14"/>
  <c r="AM88" i="14" s="1"/>
  <c r="O81" i="2"/>
  <c r="O84" i="2" s="1"/>
  <c r="O86" i="2" s="1"/>
  <c r="O68" i="5" s="1"/>
  <c r="N30" i="5"/>
  <c r="N38" i="5"/>
  <c r="L6" i="18"/>
  <c r="N66" i="2"/>
  <c r="N31" i="5" s="1"/>
  <c r="M229" i="2"/>
  <c r="C69" i="5" l="1"/>
  <c r="C46" i="5"/>
  <c r="C49" i="5" s="1"/>
  <c r="D48" i="5" s="1"/>
  <c r="K93" i="2"/>
  <c r="K96" i="2"/>
  <c r="K98" i="2" s="1"/>
  <c r="M106" i="2"/>
  <c r="M108" i="2" s="1"/>
  <c r="O97" i="2"/>
  <c r="N107" i="2"/>
  <c r="M97" i="2"/>
  <c r="L33" i="5"/>
  <c r="L91" i="2"/>
  <c r="N226" i="2"/>
  <c r="O226" i="2" s="1"/>
  <c r="O229" i="2" s="1"/>
  <c r="O224" i="2" s="1"/>
  <c r="L32" i="5"/>
  <c r="J19" i="22" s="1"/>
  <c r="M224" i="2"/>
  <c r="L45" i="20"/>
  <c r="L46" i="20" s="1"/>
  <c r="J12" i="18"/>
  <c r="C70" i="5"/>
  <c r="L93" i="2" l="1"/>
  <c r="L96" i="2"/>
  <c r="L98" i="2" s="1"/>
  <c r="N97" i="2"/>
  <c r="N106" i="2"/>
  <c r="O106" i="2" s="1"/>
  <c r="O108" i="2" s="1"/>
  <c r="N229" i="2"/>
  <c r="N224" i="2" s="1"/>
  <c r="N33" i="5" s="1"/>
  <c r="O33" i="5"/>
  <c r="O91" i="2"/>
  <c r="M33" i="5"/>
  <c r="M91" i="2"/>
  <c r="M32" i="5"/>
  <c r="K12" i="18"/>
  <c r="C51" i="5"/>
  <c r="C52" i="5" s="1"/>
  <c r="M12" i="18"/>
  <c r="O32" i="5"/>
  <c r="C56" i="5" s="1"/>
  <c r="C58" i="5" s="1"/>
  <c r="O93" i="2" l="1"/>
  <c r="O96" i="2"/>
  <c r="O98" i="2" s="1"/>
  <c r="N32" i="5"/>
  <c r="M93" i="2"/>
  <c r="M96" i="2"/>
  <c r="M98" i="2" s="1"/>
  <c r="L12" i="18"/>
  <c r="N91" i="2"/>
  <c r="N108" i="2"/>
  <c r="F29" i="10"/>
  <c r="E9" i="14" s="1"/>
  <c r="F89" i="10"/>
  <c r="F470" i="10" s="1"/>
  <c r="F475" i="10" s="1"/>
  <c r="F108" i="10"/>
  <c r="F124" i="10"/>
  <c r="F125" i="10" s="1"/>
  <c r="F224" i="10"/>
  <c r="F469" i="10"/>
  <c r="E23" i="14"/>
  <c r="F289" i="10" s="1"/>
  <c r="N93" i="2" l="1"/>
  <c r="N96" i="2"/>
  <c r="N98" i="2" s="1"/>
  <c r="G125" i="10"/>
  <c r="C65" i="5"/>
  <c r="C71" i="5"/>
  <c r="C72" i="5" s="1"/>
  <c r="G3" i="5" s="1"/>
  <c r="E10" i="14"/>
  <c r="E16" i="14"/>
  <c r="E14" i="14"/>
  <c r="E15" i="14"/>
  <c r="F109" i="10"/>
  <c r="G109" i="10"/>
  <c r="F293" i="10"/>
  <c r="C300" i="10" s="1"/>
  <c r="F297" i="10"/>
  <c r="C301" i="10" s="1"/>
  <c r="E24" i="14"/>
  <c r="E6" i="14"/>
  <c r="E13" i="14" s="1"/>
  <c r="G4" i="5" l="1"/>
  <c r="G8" i="5" s="1"/>
  <c r="G9" i="5" s="1"/>
  <c r="H3" i="5" l="1"/>
  <c r="H4" i="5" s="1"/>
  <c r="C1293" i="13"/>
  <c r="C616" i="13"/>
  <c r="M616" i="13" s="1"/>
  <c r="H697" i="13"/>
  <c r="M697" i="13" s="1"/>
  <c r="G11" i="5"/>
  <c r="C654" i="13"/>
  <c r="M654" i="13" s="1"/>
  <c r="G11" i="22" l="1"/>
  <c r="H11" i="22"/>
  <c r="I11" i="22"/>
  <c r="J11" i="22"/>
  <c r="G27" i="22"/>
  <c r="H27" i="22"/>
  <c r="I27" i="22"/>
  <c r="J27" i="22"/>
  <c r="I14" i="21"/>
  <c r="J14" i="21"/>
  <c r="K14" i="21"/>
  <c r="L14" i="21"/>
  <c r="M14" i="21"/>
  <c r="N14" i="21"/>
  <c r="O14" i="21"/>
  <c r="I31" i="21"/>
  <c r="J31" i="21"/>
  <c r="K31" i="21"/>
  <c r="L31" i="21"/>
  <c r="M31" i="21"/>
  <c r="N31" i="21"/>
  <c r="O31" i="21"/>
  <c r="G13" i="18"/>
  <c r="H13" i="18"/>
  <c r="I13" i="18"/>
  <c r="J13" i="18"/>
  <c r="K13" i="18"/>
  <c r="L13" i="18"/>
  <c r="M13" i="18"/>
  <c r="H266" i="10"/>
  <c r="H270" i="10"/>
  <c r="H271" i="10"/>
  <c r="H278" i="10"/>
  <c r="H283" i="10"/>
  <c r="H284" i="10"/>
  <c r="H497" i="10"/>
  <c r="I3" i="17"/>
  <c r="J3" i="17"/>
  <c r="K3" i="17"/>
  <c r="I4" i="17"/>
  <c r="J4" i="17"/>
  <c r="K4" i="17"/>
  <c r="G6" i="17"/>
  <c r="H6" i="17"/>
  <c r="I6" i="17"/>
  <c r="J6" i="17"/>
  <c r="K6" i="17"/>
  <c r="I10" i="17"/>
  <c r="J10" i="17"/>
  <c r="K10" i="17"/>
  <c r="I12" i="17"/>
  <c r="J12" i="17"/>
  <c r="K12" i="17"/>
  <c r="I122" i="2"/>
  <c r="J122" i="2"/>
  <c r="K122" i="2"/>
  <c r="L122" i="2"/>
  <c r="M122" i="2"/>
  <c r="N122" i="2"/>
  <c r="O122" i="2"/>
  <c r="I134" i="2"/>
  <c r="J134" i="2"/>
  <c r="K134" i="2"/>
  <c r="L134" i="2"/>
  <c r="M134" i="2"/>
  <c r="N134" i="2"/>
  <c r="O134" i="2"/>
  <c r="I142" i="2"/>
  <c r="J142" i="2"/>
  <c r="K142" i="2"/>
  <c r="L142" i="2"/>
  <c r="M142" i="2"/>
  <c r="N142" i="2"/>
  <c r="O142" i="2"/>
  <c r="I168" i="2"/>
  <c r="J168" i="2"/>
  <c r="K168" i="2"/>
  <c r="L168" i="2"/>
  <c r="M168" i="2"/>
  <c r="N168" i="2"/>
  <c r="O168" i="2"/>
  <c r="J169" i="2"/>
  <c r="K169" i="2"/>
  <c r="L169" i="2"/>
  <c r="M169" i="2"/>
  <c r="N169" i="2"/>
  <c r="O169" i="2"/>
  <c r="I171" i="2"/>
  <c r="J171" i="2"/>
  <c r="K171" i="2"/>
  <c r="L171" i="2"/>
  <c r="M171" i="2"/>
  <c r="N171" i="2"/>
  <c r="O171" i="2"/>
  <c r="I177" i="2"/>
  <c r="J177" i="2"/>
  <c r="K177" i="2"/>
  <c r="L177" i="2"/>
  <c r="M177" i="2"/>
  <c r="N177" i="2"/>
  <c r="O177" i="2"/>
  <c r="I181" i="2"/>
  <c r="J181" i="2"/>
  <c r="K181" i="2"/>
  <c r="L181" i="2"/>
  <c r="M181" i="2"/>
  <c r="N181" i="2"/>
  <c r="O181" i="2"/>
  <c r="I182" i="2"/>
  <c r="J182" i="2"/>
  <c r="K182" i="2"/>
  <c r="L182" i="2"/>
  <c r="M182" i="2"/>
  <c r="N182" i="2"/>
  <c r="O182" i="2"/>
  <c r="I183" i="2"/>
  <c r="J183" i="2"/>
  <c r="K183" i="2"/>
  <c r="L183" i="2"/>
  <c r="M183" i="2"/>
  <c r="N183" i="2"/>
  <c r="O183" i="2"/>
  <c r="I184" i="2"/>
  <c r="J184" i="2"/>
  <c r="K184" i="2"/>
  <c r="L184" i="2"/>
  <c r="M184" i="2"/>
  <c r="N184" i="2"/>
  <c r="O184" i="2"/>
  <c r="I205" i="2"/>
  <c r="J205" i="2"/>
  <c r="K205" i="2"/>
  <c r="L205" i="2"/>
  <c r="M205" i="2"/>
  <c r="N205" i="2"/>
  <c r="O205" i="2"/>
  <c r="I206" i="2"/>
  <c r="J206" i="2"/>
  <c r="K206" i="2"/>
  <c r="L206" i="2"/>
  <c r="M206" i="2"/>
  <c r="N206" i="2"/>
  <c r="O206" i="2"/>
  <c r="I211" i="2"/>
  <c r="J211" i="2"/>
  <c r="K211" i="2"/>
  <c r="L211" i="2"/>
  <c r="M211" i="2"/>
  <c r="N211" i="2"/>
  <c r="O211" i="2"/>
  <c r="I213" i="2"/>
  <c r="J213" i="2"/>
  <c r="K213" i="2"/>
  <c r="L213" i="2"/>
  <c r="M213" i="2"/>
  <c r="N213" i="2"/>
  <c r="O213" i="2"/>
  <c r="I231" i="2"/>
  <c r="J231" i="2"/>
  <c r="K231" i="2"/>
  <c r="L231" i="2"/>
  <c r="M231" i="2"/>
  <c r="N231" i="2"/>
  <c r="O231" i="2"/>
  <c r="T145" i="3"/>
  <c r="U145" i="3"/>
  <c r="T151" i="3"/>
  <c r="U151" i="3"/>
  <c r="T156" i="3"/>
  <c r="U156" i="3"/>
  <c r="K7" i="15"/>
  <c r="L7" i="15"/>
  <c r="M7" i="15"/>
  <c r="I29" i="5"/>
  <c r="J29" i="5"/>
  <c r="K29" i="5"/>
  <c r="L29" i="5"/>
  <c r="M29" i="5"/>
  <c r="N29" i="5"/>
  <c r="O29" i="5"/>
  <c r="I34" i="5"/>
  <c r="J34" i="5"/>
  <c r="K34" i="5"/>
  <c r="L34" i="5"/>
  <c r="M34" i="5"/>
  <c r="N34" i="5"/>
  <c r="O34"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B51" authorId="0" shapeId="0" xr:uid="{32EC5B4A-54BC-49EA-B3A6-05D917DFB01C}">
      <text>
        <r>
          <rPr>
            <b/>
            <sz val="9"/>
            <color indexed="81"/>
            <rFont val="Tahoma"/>
            <family val="2"/>
          </rPr>
          <t>Eduardo:</t>
        </r>
        <r>
          <rPr>
            <sz val="9"/>
            <color indexed="81"/>
            <rFont val="Tahoma"/>
            <family val="2"/>
          </rPr>
          <t xml:space="preserve">
Finance costs with convertible instruments include fair value adjustments relating to the embedded derivative conversion feature, which are based upon subjective assumptions and do not reflect the cash cost of our convertible debt, and do not directly reflect how our business is performing at any particular time and the related expense adjustment amounts are not key measures of our core operating performance</t>
        </r>
      </text>
    </comment>
    <comment ref="B55" authorId="0" shapeId="0" xr:uid="{6D6EB172-801C-4BD6-8455-01DEB3CA3388}">
      <text>
        <r>
          <rPr>
            <b/>
            <sz val="9"/>
            <color indexed="81"/>
            <rFont val="Tahoma"/>
            <family val="2"/>
          </rPr>
          <t>Eduardo:</t>
        </r>
        <r>
          <rPr>
            <sz val="9"/>
            <color indexed="81"/>
            <rFont val="Tahoma"/>
            <family val="2"/>
          </rPr>
          <t xml:space="preserve">
In Brazil, the country that its most significant subsidiaries operate, income tax is comprised of IRPJ (income tax for companies)- 15% plus a surcharge of 10% on taxable income exceeding R$240 thousand per year
and CSLL (social contribution on profits) - 10%
</t>
        </r>
      </text>
    </comment>
    <comment ref="B57" authorId="0" shapeId="0" xr:uid="{0A1DC996-53D9-4834-998F-EEC776D104C8}">
      <text>
        <r>
          <rPr>
            <b/>
            <sz val="9"/>
            <color indexed="81"/>
            <rFont val="Tahoma"/>
            <family val="2"/>
          </rPr>
          <t>Eduardo:</t>
        </r>
        <r>
          <rPr>
            <sz val="9"/>
            <color indexed="81"/>
            <rFont val="Tahoma"/>
            <family val="2"/>
          </rPr>
          <t xml:space="preserve">
Deferred tax is calculated at the tax rates that are expected to apply in the period when the liability is settled, or the asset is realized based on rates enacted or substantively enacted at the balance sheet date. Deferred tax is charged or credited in the statement of profit or loss, except when it relates to items recognized in other comprehensive income or directly in equity, in which case the deferred tax is also recognized in other comprehensive income or directly in equity.</t>
        </r>
      </text>
    </comment>
    <comment ref="B59" authorId="0" shapeId="0" xr:uid="{BD2216AB-CA9E-4B2A-A109-CC7074ABC187}">
      <text>
        <r>
          <rPr>
            <b/>
            <sz val="9"/>
            <color indexed="81"/>
            <rFont val="Tahoma"/>
            <family val="2"/>
          </rPr>
          <t>Eduardo:</t>
        </r>
        <r>
          <rPr>
            <sz val="9"/>
            <color indexed="81"/>
            <rFont val="Tahoma"/>
            <family val="2"/>
          </rPr>
          <t xml:space="preserve">
Deferred tax is calculated at the tax rates that are expected to apply in the period when the liability is settled, or the asset is realized based on rates enacted or substantively enacted at the balance sheet date. Deferred tax is charged or credited in the statement of profit or loss, except when it relates to items recognized in other comprehensive income or directly in equity, in which case the deferred tax is also recognized in other comprehensive income or directly in equity.</t>
        </r>
      </text>
    </comment>
    <comment ref="B68" authorId="0" shapeId="0" xr:uid="{5EF860B8-78CB-4A56-A9D1-06454F2BD706}">
      <text>
        <r>
          <rPr>
            <b/>
            <sz val="9"/>
            <color indexed="81"/>
            <rFont val="Tahoma"/>
            <family val="2"/>
          </rPr>
          <t>Eduardo:</t>
        </r>
        <r>
          <rPr>
            <sz val="9"/>
            <color indexed="81"/>
            <rFont val="Tahoma"/>
            <family val="2"/>
          </rPr>
          <t xml:space="preserve">
Our Class A ordinary shares are entitled to one vote per share.</t>
        </r>
      </text>
    </comment>
    <comment ref="B69" authorId="0" shapeId="0" xr:uid="{9376613E-D09E-4BB7-BA6E-E34678A75903}">
      <text>
        <r>
          <rPr>
            <b/>
            <sz val="9"/>
            <color indexed="81"/>
            <rFont val="Tahoma"/>
            <family val="2"/>
          </rPr>
          <t>Eduardo:</t>
        </r>
        <r>
          <rPr>
            <sz val="9"/>
            <color indexed="81"/>
            <rFont val="Tahoma"/>
            <family val="2"/>
          </rPr>
          <t xml:space="preserve">
 Our Class B ordinary shares are entitled to 20 votes per share </t>
        </r>
      </text>
    </comment>
    <comment ref="B213" authorId="0" shapeId="0" xr:uid="{9339D1ED-8F08-4AC6-B0D7-802B555CACBD}">
      <text>
        <r>
          <rPr>
            <b/>
            <sz val="9"/>
            <color indexed="81"/>
            <rFont val="Tahoma"/>
            <family val="2"/>
          </rPr>
          <t>Eduardo:</t>
        </r>
        <r>
          <rPr>
            <sz val="9"/>
            <color indexed="81"/>
            <rFont val="Tahoma"/>
            <family val="2"/>
          </rPr>
          <t xml:space="preserve">
Corresponds to the amount payable to the Mastercard brand related to credit card transactions. This amount is settled according to the transaction installments, substantially in up to 27 days for Brazilian transactions with no installments and 1 business day for international transactions. Sales in installments (“parcelado”) have monthly settlements over a period of up to 12 months. For Mexican and Colombian operations, the amounts are settled in 1 business day.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B10" authorId="0" shapeId="0" xr:uid="{77FD3F08-AFA3-4392-9EAD-DCF75A590F54}">
      <text>
        <r>
          <rPr>
            <b/>
            <sz val="9"/>
            <color indexed="81"/>
            <rFont val="Tahoma"/>
            <family val="2"/>
          </rPr>
          <t>Eduardo:</t>
        </r>
        <r>
          <rPr>
            <sz val="9"/>
            <color indexed="81"/>
            <rFont val="Tahoma"/>
            <family val="2"/>
          </rPr>
          <t xml:space="preserve">
Tier I Capital: the sum of Common Equity Tier I, which consists of Paid In Capital, capital, reserves and retained earnings, less deductions, and prudential adjustments and the Additional Tier I, which consists of subordinated debt instruments without a defined maturity that meet eligibility requirements. It is important to note that Nu Financeira does not hold any debt eligible to Additional Tier I on the date of these consolidated financial statements</t>
        </r>
      </text>
    </comment>
    <comment ref="B24" authorId="0" shapeId="0" xr:uid="{00658E8C-9D20-4FC6-9E10-5CC68A6972B1}">
      <text>
        <r>
          <rPr>
            <b/>
            <sz val="9"/>
            <color indexed="81"/>
            <rFont val="Tahoma"/>
            <family val="2"/>
          </rPr>
          <t>Eduardo:</t>
        </r>
        <r>
          <rPr>
            <sz val="9"/>
            <color indexed="81"/>
            <rFont val="Tahoma"/>
            <family val="2"/>
          </rPr>
          <t xml:space="preserve">
Tier I Capital: the sum of Common Equity Tier I, which consists of Paid In Capital, capital, reserves and retained earnings, less deductions, and prudential adjustments and the Additional Tier I, which consists of subordinated debt instruments without a defined maturity that meet eligibility requirements. It is important to note that Nu Financeira does not hold any debt eligible to Additional Tier I on the date of these consolidated financial statements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A9" authorId="0" shapeId="0" xr:uid="{FB8EDECB-92A0-4012-8DF7-F1816D8A383A}">
      <text>
        <r>
          <rPr>
            <b/>
            <sz val="9"/>
            <color indexed="81"/>
            <rFont val="Tahoma"/>
            <family val="2"/>
          </rPr>
          <t>Eduardo:</t>
        </r>
        <r>
          <rPr>
            <sz val="9"/>
            <color indexed="81"/>
            <rFont val="Tahoma"/>
            <family val="2"/>
          </rPr>
          <t xml:space="preserve">
We define a monthly active customer as any customer that has generated revenue in the last 30 calendar days of the measurement period</t>
        </r>
      </text>
    </comment>
    <comment ref="A16" authorId="0" shapeId="0" xr:uid="{4B43855C-33C6-4632-98D7-967D713652D5}">
      <text>
        <r>
          <rPr>
            <b/>
            <sz val="9"/>
            <color indexed="81"/>
            <rFont val="Tahoma"/>
            <family val="2"/>
          </rPr>
          <t>Eduardo:</t>
        </r>
        <r>
          <rPr>
            <sz val="9"/>
            <color indexed="81"/>
            <rFont val="Tahoma"/>
            <family val="2"/>
          </rPr>
          <t xml:space="preserve">
we define activity rate as monthly active customers divided by the total number of customers as of a specific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B405" authorId="0" shapeId="0" xr:uid="{145153BE-9145-4F83-A1E7-7592E863A81F}">
      <text>
        <r>
          <rPr>
            <b/>
            <sz val="9"/>
            <color indexed="81"/>
            <rFont val="Tahoma"/>
            <family val="2"/>
          </rPr>
          <t>Eduardo:</t>
        </r>
        <r>
          <rPr>
            <sz val="9"/>
            <color indexed="81"/>
            <rFont val="Tahoma"/>
            <family val="2"/>
          </rPr>
          <t xml:space="preserve">
for Q1 22:
2%* X + 98%*Y = 3.7% - Constant mix
21%*X + 79%*Y = 4.2% - Actual mix</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Eduardo</author>
    <author>Soomit Datta</author>
  </authors>
  <commentList>
    <comment ref="B181" authorId="0" shapeId="0" xr:uid="{7727E261-14B1-41A8-92AC-AC04B8F39E39}">
      <text>
        <r>
          <rPr>
            <b/>
            <sz val="9"/>
            <color indexed="81"/>
            <rFont val="Tahoma"/>
            <family val="2"/>
          </rPr>
          <t>Eduardo:</t>
        </r>
        <r>
          <rPr>
            <sz val="9"/>
            <color indexed="81"/>
            <rFont val="Tahoma"/>
            <family val="2"/>
          </rPr>
          <t xml:space="preserve">
printing and shipping of a card, credit data costs (primarily consisting of credit bureau costs) and paid marketing.</t>
        </r>
      </text>
    </comment>
    <comment ref="B443" authorId="0" shapeId="0" xr:uid="{41395621-1FE7-4CDB-B132-B1BDECE51E05}">
      <text>
        <r>
          <rPr>
            <b/>
            <sz val="9"/>
            <color indexed="81"/>
            <rFont val="Tahoma"/>
            <family val="2"/>
          </rPr>
          <t>Eduardo:</t>
        </r>
        <r>
          <rPr>
            <sz val="9"/>
            <color indexed="81"/>
            <rFont val="Tahoma"/>
            <family val="2"/>
          </rPr>
          <t xml:space="preserve">
F1 document</t>
        </r>
      </text>
    </comment>
    <comment ref="B450" authorId="0" shapeId="0" xr:uid="{868FD03A-8A1D-4B4A-ACFF-B43098CAFF0A}">
      <text>
        <r>
          <rPr>
            <b/>
            <sz val="9"/>
            <color indexed="81"/>
            <rFont val="Tahoma"/>
            <family val="2"/>
          </rPr>
          <t>Eduardo:</t>
        </r>
        <r>
          <rPr>
            <sz val="9"/>
            <color indexed="81"/>
            <rFont val="Tahoma"/>
            <family val="2"/>
          </rPr>
          <t xml:space="preserve">
Assuming the requirement is for credit transactions</t>
        </r>
      </text>
    </comment>
    <comment ref="B451" authorId="0" shapeId="0" xr:uid="{1C4A5097-0218-4659-A1D7-AA68ABFE9835}">
      <text>
        <r>
          <rPr>
            <b/>
            <sz val="9"/>
            <color indexed="81"/>
            <rFont val="Tahoma"/>
            <family val="2"/>
          </rPr>
          <t>Eduardo:</t>
        </r>
        <r>
          <rPr>
            <sz val="9"/>
            <color indexed="81"/>
            <rFont val="Tahoma"/>
            <family val="2"/>
          </rPr>
          <t xml:space="preserve">
F1 document</t>
        </r>
      </text>
    </comment>
    <comment ref="B461" authorId="0" shapeId="0" xr:uid="{89C57275-A8C3-473C-ACD5-F3F67553C2DC}">
      <text>
        <r>
          <rPr>
            <b/>
            <sz val="9"/>
            <color indexed="81"/>
            <rFont val="Tahoma"/>
            <family val="2"/>
          </rPr>
          <t>Eduardo:</t>
        </r>
        <r>
          <rPr>
            <sz val="9"/>
            <color indexed="81"/>
            <rFont val="Tahoma"/>
            <family val="2"/>
          </rPr>
          <t xml:space="preserve">
3Q21 to 3Q20 credit TPV</t>
        </r>
      </text>
    </comment>
    <comment ref="B465" authorId="0" shapeId="0" xr:uid="{0806C3D5-0359-4ECC-9656-0659CA05AB42}">
      <text>
        <r>
          <rPr>
            <b/>
            <sz val="9"/>
            <color indexed="81"/>
            <rFont val="Tahoma"/>
            <family val="2"/>
          </rPr>
          <t>Eduardo:</t>
        </r>
        <r>
          <rPr>
            <sz val="9"/>
            <color indexed="81"/>
            <rFont val="Tahoma"/>
            <family val="2"/>
          </rPr>
          <t xml:space="preserve">
Assuming the requirement is for credit transactions</t>
        </r>
      </text>
    </comment>
    <comment ref="D1497" authorId="1" shapeId="0" xr:uid="{FE49AD97-B332-4369-A4E5-A0F724D872B7}">
      <text>
        <r>
          <rPr>
            <b/>
            <sz val="9"/>
            <color indexed="81"/>
            <rFont val="Tahoma"/>
            <family val="2"/>
          </rPr>
          <t>Soomit Datta:</t>
        </r>
        <r>
          <rPr>
            <sz val="9"/>
            <color indexed="81"/>
            <rFont val="Tahoma"/>
            <family val="2"/>
          </rPr>
          <t xml:space="preserve">
Launched May 2023</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A8" authorId="0" shapeId="0" xr:uid="{B64CB894-CB62-48A2-9ED6-09FD155D465C}">
      <text>
        <r>
          <rPr>
            <b/>
            <sz val="9"/>
            <color indexed="81"/>
            <rFont val="Tahoma"/>
            <family val="2"/>
          </rPr>
          <t>Eduardo:</t>
        </r>
        <r>
          <rPr>
            <sz val="9"/>
            <color indexed="81"/>
            <rFont val="Tahoma"/>
            <family val="2"/>
          </rPr>
          <t xml:space="preserve">
Revolving and Instalments</t>
        </r>
      </text>
    </comment>
    <comment ref="E34" authorId="0" shapeId="0" xr:uid="{C60FC19F-EBC9-41B7-B79B-C3AB7F54804F}">
      <text>
        <r>
          <rPr>
            <b/>
            <sz val="9"/>
            <color indexed="81"/>
            <rFont val="Tahoma"/>
            <family val="2"/>
          </rPr>
          <t>Eduardo:</t>
        </r>
        <r>
          <rPr>
            <sz val="9"/>
            <color indexed="81"/>
            <rFont val="Tahoma"/>
            <family val="2"/>
          </rPr>
          <t xml:space="preserve">
From Valor economico article</t>
        </r>
      </text>
    </comment>
    <comment ref="A38" authorId="0" shapeId="0" xr:uid="{4A3A0B21-C5D7-49DE-8B38-845BD304CF71}">
      <text>
        <r>
          <rPr>
            <b/>
            <sz val="9"/>
            <color indexed="81"/>
            <rFont val="Tahoma"/>
            <family val="2"/>
          </rPr>
          <t>Eduardo:</t>
        </r>
        <r>
          <rPr>
            <sz val="9"/>
            <color indexed="81"/>
            <rFont val="Tahoma"/>
            <family val="2"/>
          </rPr>
          <t xml:space="preserve">
Growing with active clients growth rate</t>
        </r>
      </text>
    </comment>
    <comment ref="A78" authorId="0" shapeId="0" xr:uid="{5EE284BF-1AF9-42DB-9BE9-5DF7D7A197F4}">
      <text>
        <r>
          <rPr>
            <b/>
            <sz val="9"/>
            <color indexed="81"/>
            <rFont val="Tahoma"/>
            <family val="2"/>
          </rPr>
          <t>Eduardo:</t>
        </r>
        <r>
          <rPr>
            <sz val="9"/>
            <color indexed="81"/>
            <rFont val="Tahoma"/>
            <family val="2"/>
          </rPr>
          <t xml:space="preserve">
Growing with active clients growth rate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Soomit Datta</author>
  </authors>
  <commentList>
    <comment ref="J410" authorId="0" shapeId="0" xr:uid="{DDC4157F-4639-431D-955C-E6426536C970}">
      <text>
        <r>
          <rPr>
            <b/>
            <sz val="9"/>
            <color indexed="81"/>
            <rFont val="Tahoma"/>
            <family val="2"/>
          </rPr>
          <t>Soomit Datta:</t>
        </r>
        <r>
          <rPr>
            <sz val="9"/>
            <color indexed="81"/>
            <rFont val="Tahoma"/>
            <family val="2"/>
          </rPr>
          <t xml:space="preserve">
stripping out one-time non cash recognition of 2021 CSA termination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Eduardo</author>
    <author>Soomit Datta</author>
  </authors>
  <commentList>
    <comment ref="A18" authorId="0" shapeId="0" xr:uid="{936BA910-BCCE-4DAA-9AF2-4B2C6F6D7806}">
      <text>
        <r>
          <rPr>
            <b/>
            <sz val="9"/>
            <color indexed="81"/>
            <rFont val="Tahoma"/>
            <family val="2"/>
          </rPr>
          <t>Eduardo:</t>
        </r>
        <r>
          <rPr>
            <sz val="9"/>
            <color indexed="81"/>
            <rFont val="Tahoma"/>
            <family val="2"/>
          </rPr>
          <t xml:space="preserve">
We define a monthly active customer as any customer that has generated revenue in the last 30 calendar days of the measurement period</t>
        </r>
      </text>
    </comment>
    <comment ref="A77" authorId="0" shapeId="0" xr:uid="{720BC07D-0DD8-428C-B3A7-FE430C399E67}">
      <text>
        <r>
          <rPr>
            <b/>
            <sz val="9"/>
            <color indexed="81"/>
            <rFont val="Tahoma"/>
            <family val="2"/>
          </rPr>
          <t>Eduardo:</t>
        </r>
        <r>
          <rPr>
            <sz val="9"/>
            <color indexed="81"/>
            <rFont val="Tahoma"/>
            <family val="2"/>
          </rPr>
          <t xml:space="preserve">
https://population.un.org/wpp/Download/Standard/Population/</t>
        </r>
      </text>
    </comment>
    <comment ref="A79" authorId="0" shapeId="0" xr:uid="{1FDA4053-56FB-49DA-953E-C6A3641EB519}">
      <text>
        <r>
          <rPr>
            <b/>
            <sz val="9"/>
            <color indexed="81"/>
            <rFont val="Tahoma"/>
            <family val="2"/>
          </rPr>
          <t>Eduardo:</t>
        </r>
        <r>
          <rPr>
            <sz val="9"/>
            <color indexed="81"/>
            <rFont val="Tahoma"/>
            <family val="2"/>
          </rPr>
          <t xml:space="preserve">
Statista
</t>
        </r>
      </text>
    </comment>
    <comment ref="A130" authorId="0" shapeId="0" xr:uid="{7A68F3F8-AE8F-402A-87C7-AF2FBB717A07}">
      <text>
        <r>
          <rPr>
            <b/>
            <sz val="9"/>
            <color indexed="81"/>
            <rFont val="Tahoma"/>
            <family val="2"/>
          </rPr>
          <t>Eduardo:</t>
        </r>
        <r>
          <rPr>
            <sz val="9"/>
            <color indexed="81"/>
            <rFont val="Tahoma"/>
            <family val="2"/>
          </rPr>
          <t xml:space="preserve">
https://population.un.org/wpp/Download/Standard/Population/</t>
        </r>
      </text>
    </comment>
    <comment ref="A131" authorId="0" shapeId="0" xr:uid="{0FE806B3-B139-4677-B98C-EA5A25DB2A26}">
      <text>
        <r>
          <rPr>
            <b/>
            <sz val="9"/>
            <color indexed="81"/>
            <rFont val="Tahoma"/>
            <family val="2"/>
          </rPr>
          <t>Eduardo:</t>
        </r>
        <r>
          <rPr>
            <sz val="9"/>
            <color indexed="81"/>
            <rFont val="Tahoma"/>
            <family val="2"/>
          </rPr>
          <t xml:space="preserve">
https://www.gob.mx/cms/uploads/attachment/file/581089/Panorama_IF_2020.pdf</t>
        </r>
      </text>
    </comment>
    <comment ref="A132" authorId="0" shapeId="0" xr:uid="{5241AF30-C7A5-4F22-8287-771F76900519}">
      <text>
        <r>
          <rPr>
            <b/>
            <sz val="9"/>
            <color indexed="81"/>
            <rFont val="Tahoma"/>
            <family val="2"/>
          </rPr>
          <t>Eduardo:</t>
        </r>
        <r>
          <rPr>
            <sz val="9"/>
            <color indexed="81"/>
            <rFont val="Tahoma"/>
            <family val="2"/>
          </rPr>
          <t xml:space="preserve">
Statista
</t>
        </r>
      </text>
    </comment>
    <comment ref="E132" authorId="0" shapeId="0" xr:uid="{62DDB489-8460-447B-A5DB-8F2FD8355CDC}">
      <text>
        <r>
          <rPr>
            <b/>
            <sz val="9"/>
            <color indexed="81"/>
            <rFont val="Tahoma"/>
            <family val="2"/>
          </rPr>
          <t>Eduardo:</t>
        </r>
        <r>
          <rPr>
            <sz val="9"/>
            <color indexed="81"/>
            <rFont val="Tahoma"/>
            <family val="2"/>
          </rPr>
          <t xml:space="preserve">
My esttimate</t>
        </r>
      </text>
    </comment>
    <comment ref="A161" authorId="0" shapeId="0" xr:uid="{FDF69592-0F4F-45C8-ADCA-4D8AB8C3E463}">
      <text>
        <r>
          <rPr>
            <b/>
            <sz val="9"/>
            <color indexed="81"/>
            <rFont val="Tahoma"/>
            <family val="2"/>
          </rPr>
          <t>Eduardo:</t>
        </r>
        <r>
          <rPr>
            <sz val="9"/>
            <color indexed="81"/>
            <rFont val="Tahoma"/>
            <family val="2"/>
          </rPr>
          <t xml:space="preserve">
https://population.un.org/wpp/Download/Standard/Population/</t>
        </r>
      </text>
    </comment>
    <comment ref="A162" authorId="0" shapeId="0" xr:uid="{CF425D06-8181-476E-B598-A56ED0EA1B5E}">
      <text>
        <r>
          <rPr>
            <b/>
            <sz val="9"/>
            <color indexed="81"/>
            <rFont val="Tahoma"/>
            <family val="2"/>
          </rPr>
          <t>Eduardo:</t>
        </r>
        <r>
          <rPr>
            <sz val="9"/>
            <color indexed="81"/>
            <rFont val="Tahoma"/>
            <family val="2"/>
          </rPr>
          <t xml:space="preserve">
https://www.asobancaria.com/informe-tarjetas-credito/</t>
        </r>
      </text>
    </comment>
    <comment ref="A163" authorId="0" shapeId="0" xr:uid="{DAC27486-07BF-4BBD-AD18-D373FBD0F05F}">
      <text>
        <r>
          <rPr>
            <b/>
            <sz val="9"/>
            <color indexed="81"/>
            <rFont val="Tahoma"/>
            <family val="2"/>
          </rPr>
          <t>Eduardo:</t>
        </r>
        <r>
          <rPr>
            <sz val="9"/>
            <color indexed="81"/>
            <rFont val="Tahoma"/>
            <family val="2"/>
          </rPr>
          <t xml:space="preserve">
Statista
</t>
        </r>
      </text>
    </comment>
    <comment ref="E163" authorId="0" shapeId="0" xr:uid="{5C58071B-5ADA-4156-B442-409EEDDD28E5}">
      <text>
        <r>
          <rPr>
            <b/>
            <sz val="9"/>
            <color indexed="81"/>
            <rFont val="Tahoma"/>
            <family val="2"/>
          </rPr>
          <t>Eduardo:</t>
        </r>
        <r>
          <rPr>
            <sz val="9"/>
            <color indexed="81"/>
            <rFont val="Tahoma"/>
            <family val="2"/>
          </rPr>
          <t xml:space="preserve">
My esttimate</t>
        </r>
      </text>
    </comment>
    <comment ref="A193" authorId="0" shapeId="0" xr:uid="{0AF4B90E-51D0-4F52-BD2D-F8FE7C7AD3A4}">
      <text>
        <r>
          <rPr>
            <b/>
            <sz val="9"/>
            <color indexed="81"/>
            <rFont val="Tahoma"/>
            <family val="2"/>
          </rPr>
          <t>Eduardo:</t>
        </r>
        <r>
          <rPr>
            <sz val="9"/>
            <color indexed="81"/>
            <rFont val="Tahoma"/>
            <family val="2"/>
          </rPr>
          <t xml:space="preserve">
Purchase volume is defined as the total value of transactions that are authorized through our credit and debit cards only; it does not include other payment methods that we offer such as PIX, a payment system that allows real-time payments and transfers launched by the Central Bank of Brazil, WhatsApp payments or traditional wire transfers.</t>
        </r>
      </text>
    </comment>
    <comment ref="A219" authorId="0" shapeId="0" xr:uid="{32986A07-3411-482E-995D-18BCD3916897}">
      <text>
        <r>
          <rPr>
            <b/>
            <sz val="9"/>
            <color indexed="81"/>
            <rFont val="Tahoma"/>
            <family val="2"/>
          </rPr>
          <t>Eduardo:</t>
        </r>
        <r>
          <rPr>
            <sz val="9"/>
            <color indexed="81"/>
            <rFont val="Tahoma"/>
            <family val="2"/>
          </rPr>
          <t xml:space="preserve">
Brazilian central bank</t>
        </r>
      </text>
    </comment>
    <comment ref="E252" authorId="0" shapeId="0" xr:uid="{F0126FDF-C6BF-4D60-9C88-91A339F2DA66}">
      <text>
        <r>
          <rPr>
            <b/>
            <sz val="9"/>
            <color indexed="81"/>
            <rFont val="Tahoma"/>
            <family val="2"/>
          </rPr>
          <t>Eduardo:</t>
        </r>
        <r>
          <rPr>
            <sz val="9"/>
            <color indexed="81"/>
            <rFont val="Tahoma"/>
            <family val="2"/>
          </rPr>
          <t xml:space="preserve">
From F1 document</t>
        </r>
      </text>
    </comment>
    <comment ref="A256" authorId="0" shapeId="0" xr:uid="{2E7E08B5-65E3-4D05-BC82-C0F10A54E208}">
      <text>
        <r>
          <rPr>
            <b/>
            <sz val="9"/>
            <color indexed="81"/>
            <rFont val="Tahoma"/>
            <family val="2"/>
          </rPr>
          <t>Eduardo:</t>
        </r>
        <r>
          <rPr>
            <sz val="9"/>
            <color indexed="81"/>
            <rFont val="Tahoma"/>
            <family val="2"/>
          </rPr>
          <t xml:space="preserve">
Maximum of 1.91% for credit according to the Banco de Mexico (March 11 of 2021)</t>
        </r>
      </text>
    </comment>
    <comment ref="A257" authorId="0" shapeId="0" xr:uid="{AF5A39CB-5C18-49B5-A491-79DA6C9852F7}">
      <text>
        <r>
          <rPr>
            <b/>
            <sz val="9"/>
            <color indexed="81"/>
            <rFont val="Tahoma"/>
            <family val="2"/>
          </rPr>
          <t>Eduardo:</t>
        </r>
        <r>
          <rPr>
            <sz val="9"/>
            <color indexed="81"/>
            <rFont val="Tahoma"/>
            <family val="2"/>
          </rPr>
          <t xml:space="preserve">
Maximum of 1.15% for credit according to the Banco de Mexico</t>
        </r>
      </text>
    </comment>
    <comment ref="A273" authorId="0" shapeId="0" xr:uid="{43F42638-5B1C-45FF-B091-536F64830681}">
      <text>
        <r>
          <rPr>
            <b/>
            <sz val="9"/>
            <color indexed="81"/>
            <rFont val="Tahoma"/>
            <family val="2"/>
          </rPr>
          <t>Eduardo:</t>
        </r>
        <r>
          <rPr>
            <sz val="9"/>
            <color indexed="81"/>
            <rFont val="Tahoma"/>
            <family val="2"/>
          </rPr>
          <t xml:space="preserve">
https://repositorio.banrep.gov.co/bitstream/handle/20.500.12134/10029/reporte-sistemas-de-pago-2019-ingles.pdf</t>
        </r>
      </text>
    </comment>
    <comment ref="F326" authorId="1" shapeId="0" xr:uid="{473E0BE6-8623-4417-9A9D-E78ABB94565C}">
      <text>
        <r>
          <rPr>
            <b/>
            <sz val="9"/>
            <color indexed="81"/>
            <rFont val="Tahoma"/>
            <family val="2"/>
          </rPr>
          <t>Soomit Datta:</t>
        </r>
        <r>
          <rPr>
            <sz val="9"/>
            <color indexed="81"/>
            <rFont val="Tahoma"/>
            <family val="2"/>
          </rPr>
          <t xml:space="preserve">
Inter Q3 21 12m rolling</t>
        </r>
      </text>
    </comment>
    <comment ref="A397" authorId="0" shapeId="0" xr:uid="{49074EFB-9083-4AA7-8E5D-DC5E6C61A4A0}">
      <text>
        <r>
          <rPr>
            <b/>
            <sz val="9"/>
            <color indexed="81"/>
            <rFont val="Tahoma"/>
            <family val="2"/>
          </rPr>
          <t>Eduardo:</t>
        </r>
        <r>
          <rPr>
            <sz val="9"/>
            <color indexed="81"/>
            <rFont val="Tahoma"/>
            <family val="2"/>
          </rPr>
          <t xml:space="preserve">
2020 PT document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B42" authorId="0" shapeId="0" xr:uid="{EE026BD8-FF8F-4187-B044-9FA266B9CFDD}">
      <text>
        <r>
          <rPr>
            <b/>
            <sz val="9"/>
            <color indexed="81"/>
            <rFont val="Tahoma"/>
            <family val="2"/>
          </rPr>
          <t>Eduardo:</t>
        </r>
        <r>
          <rPr>
            <sz val="9"/>
            <color indexed="81"/>
            <rFont val="Tahoma"/>
            <family val="2"/>
          </rPr>
          <t xml:space="preserve">
(Total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A5" authorId="0" shapeId="0" xr:uid="{F96487CF-1A16-40A0-B049-C241A6B5AD62}">
      <text>
        <r>
          <rPr>
            <b/>
            <sz val="9"/>
            <color indexed="81"/>
            <rFont val="Tahoma"/>
            <family val="2"/>
          </rPr>
          <t>Eduardo:</t>
        </r>
        <r>
          <rPr>
            <sz val="9"/>
            <color indexed="81"/>
            <rFont val="Tahoma"/>
            <family val="2"/>
          </rPr>
          <t xml:space="preserve">
8100 in Q3 2021</t>
        </r>
      </text>
    </comment>
    <comment ref="A22" authorId="0" shapeId="0" xr:uid="{7B4B4E6B-A281-47E6-A0AE-4AC01E73240A}">
      <text>
        <r>
          <rPr>
            <b/>
            <sz val="9"/>
            <color indexed="81"/>
            <rFont val="Tahoma"/>
            <family val="2"/>
          </rPr>
          <t>Eduardo:</t>
        </r>
        <r>
          <rPr>
            <sz val="9"/>
            <color indexed="81"/>
            <rFont val="Tahoma"/>
            <family val="2"/>
          </rPr>
          <t xml:space="preserve">
8100 in Q3 2021</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Eduardo</author>
  </authors>
  <commentList>
    <comment ref="A3" authorId="0" shapeId="0" xr:uid="{9220D41E-B294-4A5A-BC06-51DE84F4EF37}">
      <text>
        <r>
          <rPr>
            <b/>
            <sz val="9"/>
            <color indexed="81"/>
            <rFont val="Tahoma"/>
            <family val="2"/>
          </rPr>
          <t>Eduardo:</t>
        </r>
        <r>
          <rPr>
            <sz val="9"/>
            <color indexed="81"/>
            <rFont val="Tahoma"/>
            <family val="2"/>
          </rPr>
          <t xml:space="preserve">
PAGS and DLO report gross, so select a gross and net. Others report net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<sst xmlns="http://schemas.openxmlformats.org/spreadsheetml/2006/main" count="4108" uniqueCount="2423">
  <si>
    <t>Soomit Datta</t>
  </si>
  <si>
    <t>New Street Research</t>
  </si>
  <si>
    <t xml:space="preserve">+44 20 7375 9128 </t>
  </si>
  <si>
    <t>soomit@newstreetresearch.com</t>
  </si>
  <si>
    <t>Ticker</t>
  </si>
  <si>
    <t>Rating</t>
  </si>
  <si>
    <t>Target Price</t>
  </si>
  <si>
    <t>Actual</t>
  </si>
  <si>
    <t>Estimate</t>
  </si>
  <si>
    <t>Income Statement</t>
  </si>
  <si>
    <t>% of Revenue</t>
  </si>
  <si>
    <t>Gross profit from financial intermediation</t>
  </si>
  <si>
    <t>Income Before Taxes and Profit Sharing</t>
  </si>
  <si>
    <t>Effective tax rate</t>
  </si>
  <si>
    <t>Net Income</t>
  </si>
  <si>
    <t>Basic shares outstanding</t>
  </si>
  <si>
    <t>Weighted average shares</t>
  </si>
  <si>
    <t>Basic EPS</t>
  </si>
  <si>
    <t>Diluted EPS</t>
  </si>
  <si>
    <t>Basic DPS</t>
  </si>
  <si>
    <t>Diluted DPS</t>
  </si>
  <si>
    <t>Cash Flow</t>
  </si>
  <si>
    <t>Operational activities</t>
  </si>
  <si>
    <t>Net cash used in operating activities</t>
  </si>
  <si>
    <t>Net income</t>
  </si>
  <si>
    <t>Deferred taxes</t>
  </si>
  <si>
    <t>Depreciation and amortization</t>
  </si>
  <si>
    <t>Change in assets and liabilities</t>
  </si>
  <si>
    <t>Net cash used in investment activities</t>
  </si>
  <si>
    <t>Acquisition of intangible assets</t>
  </si>
  <si>
    <t>Net cash from financing activities</t>
  </si>
  <si>
    <t>Capital increase</t>
  </si>
  <si>
    <t>Increase / decrease in cash and cash equivalents</t>
  </si>
  <si>
    <t>Effect of exchange rate variation on cash and cash equivalents</t>
  </si>
  <si>
    <t>Cash and cash equivalents at beginning of period</t>
  </si>
  <si>
    <t>Cash and cash equivalents at end of period</t>
  </si>
  <si>
    <t>Check</t>
  </si>
  <si>
    <t>Balance Sheet</t>
  </si>
  <si>
    <t>Total assets</t>
  </si>
  <si>
    <t>Total current assets</t>
  </si>
  <si>
    <t>Excess Cash</t>
  </si>
  <si>
    <t>Cash and cash equivalents</t>
  </si>
  <si>
    <t>Derivative financial instruments</t>
  </si>
  <si>
    <t>Intangible assets</t>
  </si>
  <si>
    <t>Other assets</t>
  </si>
  <si>
    <t>Total liabilities and shareholders' equity</t>
  </si>
  <si>
    <t>Total liabilities</t>
  </si>
  <si>
    <t>Deposits</t>
  </si>
  <si>
    <t>Other liabilities</t>
  </si>
  <si>
    <t>Total shareholders' equity</t>
  </si>
  <si>
    <t>Share capital</t>
  </si>
  <si>
    <t>3Q20</t>
  </si>
  <si>
    <t>4Q20</t>
  </si>
  <si>
    <t>1Q21</t>
  </si>
  <si>
    <t>2Q21</t>
  </si>
  <si>
    <t>3Q21</t>
  </si>
  <si>
    <t>4Q21</t>
  </si>
  <si>
    <t>1Q22</t>
  </si>
  <si>
    <t>2Q22</t>
  </si>
  <si>
    <t>3Q22</t>
  </si>
  <si>
    <t>4Q22</t>
  </si>
  <si>
    <t>1Q23</t>
  </si>
  <si>
    <t>2Q23</t>
  </si>
  <si>
    <t>3Q23</t>
  </si>
  <si>
    <t>4Q23</t>
  </si>
  <si>
    <t>CDI</t>
  </si>
  <si>
    <t>Metric</t>
  </si>
  <si>
    <t>Forecast</t>
  </si>
  <si>
    <t>Multiple</t>
  </si>
  <si>
    <t>100% EV</t>
  </si>
  <si>
    <t>% of EV</t>
  </si>
  <si>
    <t>DCF</t>
  </si>
  <si>
    <t>Total value</t>
  </si>
  <si>
    <t>SHOUT, millions</t>
  </si>
  <si>
    <t>Equity (market capitalisation)</t>
  </si>
  <si>
    <t>Value per share</t>
  </si>
  <si>
    <t>Price</t>
  </si>
  <si>
    <t>Upside</t>
  </si>
  <si>
    <t>Equity</t>
  </si>
  <si>
    <t>Associate</t>
  </si>
  <si>
    <t>Cumulative dividend</t>
  </si>
  <si>
    <t>EV</t>
  </si>
  <si>
    <t>Market cap</t>
  </si>
  <si>
    <t>EV/Revenue</t>
  </si>
  <si>
    <t>P/E</t>
  </si>
  <si>
    <t>WACC</t>
  </si>
  <si>
    <t>TV</t>
  </si>
  <si>
    <t>Interest income and gains (losses) on financial instruments</t>
  </si>
  <si>
    <t>Fee and commission income</t>
  </si>
  <si>
    <t>Interest and other financial expenses</t>
  </si>
  <si>
    <t>Credit loss allowance expenses</t>
  </si>
  <si>
    <t>Total cost of financial and transactional services provided</t>
  </si>
  <si>
    <t>Operating Expenses</t>
  </si>
  <si>
    <t>Customer support and operations</t>
  </si>
  <si>
    <t>General and administrative expenses</t>
  </si>
  <si>
    <t>Marketing expenses</t>
  </si>
  <si>
    <t>Other income (expenses)</t>
  </si>
  <si>
    <t>Total operating expenses</t>
  </si>
  <si>
    <t>Finance costs – results with convertible instruments</t>
  </si>
  <si>
    <t>Current taxes</t>
  </si>
  <si>
    <t>Financial assets at fair value through profit or loss</t>
  </si>
  <si>
    <t>Securities</t>
  </si>
  <si>
    <t>Collateral for credit card operations</t>
  </si>
  <si>
    <t>Financial assets at fair value through other comprehensive income</t>
  </si>
  <si>
    <t>Financial assets at amortized cost</t>
  </si>
  <si>
    <t>Compulsory deposits at central banks</t>
  </si>
  <si>
    <t>Credit card receivables</t>
  </si>
  <si>
    <t>Loans to customers</t>
  </si>
  <si>
    <t>Interbank transactions</t>
  </si>
  <si>
    <t>Other financial assets at amortized cost</t>
  </si>
  <si>
    <t>Deferred tax assets</t>
  </si>
  <si>
    <t>Right-of-use assets</t>
  </si>
  <si>
    <t>Property, plant and equipment</t>
  </si>
  <si>
    <t>Goodwill</t>
  </si>
  <si>
    <t>Financial liabilities at fair value through profit or loss</t>
  </si>
  <si>
    <t>Instruments eligible as capital</t>
  </si>
  <si>
    <t>Financial liabilities at amortized cost</t>
  </si>
  <si>
    <t>Payables to credit card network</t>
  </si>
  <si>
    <t>Borrowings and financing</t>
  </si>
  <si>
    <t>Securitized borrowings</t>
  </si>
  <si>
    <t>Senior preferred shares</t>
  </si>
  <si>
    <t>Salaries, allowances and social security contributions</t>
  </si>
  <si>
    <t>Tax liabilities</t>
  </si>
  <si>
    <t>Lease liabilities</t>
  </si>
  <si>
    <t>Provision for lawsuits and administrative proceedings</t>
  </si>
  <si>
    <t>Deferred income</t>
  </si>
  <si>
    <t>Deferred tax liabilities</t>
  </si>
  <si>
    <t>Share premium reserve</t>
  </si>
  <si>
    <t>Accumulated gains (losses)</t>
  </si>
  <si>
    <t>Other comprehensive income/loss</t>
  </si>
  <si>
    <t>Equity attributable to controlling shareholders of the parent company</t>
  </si>
  <si>
    <t>Equity attributable to non-controlling interest</t>
  </si>
  <si>
    <t>Nubank</t>
  </si>
  <si>
    <t>Total Revenue</t>
  </si>
  <si>
    <t>Total non current assets</t>
  </si>
  <si>
    <t>Banco Inter - in USD Millions</t>
  </si>
  <si>
    <t>NU</t>
  </si>
  <si>
    <t>Deferred income taxes</t>
  </si>
  <si>
    <t>Gains (losses) on financial instruments</t>
  </si>
  <si>
    <t>Interests accrued</t>
  </si>
  <si>
    <t>Stock options granted</t>
  </si>
  <si>
    <t>Adjustments</t>
  </si>
  <si>
    <t>Interest paid</t>
  </si>
  <si>
    <t>Income tax paid</t>
  </si>
  <si>
    <t>Acquisition of fixed assets</t>
  </si>
  <si>
    <t>Acquisition of subsidiary, net of cash acquired</t>
  </si>
  <si>
    <t>Proceeds from senior preferred shares</t>
  </si>
  <si>
    <t>Proceeds from securitized borrowings</t>
  </si>
  <si>
    <t>Payments of securitized borrowings</t>
  </si>
  <si>
    <t>Proceeds from borrowings and financing</t>
  </si>
  <si>
    <t>Payments of borrowings and financing</t>
  </si>
  <si>
    <t>Proceeds from debt instruments eligible as capital</t>
  </si>
  <si>
    <t>Lease payments</t>
  </si>
  <si>
    <t>Exercise of stock options</t>
  </si>
  <si>
    <t>Shares repurchased</t>
  </si>
  <si>
    <t>Shares withheld for employee’s taxes</t>
  </si>
  <si>
    <t>USD million</t>
  </si>
  <si>
    <t>Purchase volume (in US$ billions)</t>
  </si>
  <si>
    <t>Interest income – credit card</t>
  </si>
  <si>
    <t>Interest income – lending</t>
  </si>
  <si>
    <t>Interest income – other assets at amortized cost</t>
  </si>
  <si>
    <t>Interest income and gains (losses) on financial instruments at fair value</t>
  </si>
  <si>
    <t>Interchange fees</t>
  </si>
  <si>
    <t>Recharge gains</t>
  </si>
  <si>
    <t>Rewards revenue</t>
  </si>
  <si>
    <t>Late fees</t>
  </si>
  <si>
    <t>Other fee and commission income</t>
  </si>
  <si>
    <t>Interest expense on deposits</t>
  </si>
  <si>
    <t>Other interest and similar expenses</t>
  </si>
  <si>
    <t>Bank slip costs</t>
  </si>
  <si>
    <t>Rewards expenses</t>
  </si>
  <si>
    <t>Credit and debit card network costs</t>
  </si>
  <si>
    <t>Other transactional expenses</t>
  </si>
  <si>
    <t>Total transactional expenses</t>
  </si>
  <si>
    <t>Operationals</t>
  </si>
  <si>
    <t>Total Customers</t>
  </si>
  <si>
    <t>Activity Rate</t>
  </si>
  <si>
    <t>Monthly Active Customers</t>
  </si>
  <si>
    <t>9m - Sep</t>
  </si>
  <si>
    <t>Personal Loans</t>
  </si>
  <si>
    <t>Credit card</t>
  </si>
  <si>
    <t>Revenue - Loan portfolio</t>
  </si>
  <si>
    <t>Implied rate</t>
  </si>
  <si>
    <t>Class A shares outstanding</t>
  </si>
  <si>
    <t>Class B shares outstanding</t>
  </si>
  <si>
    <t>Total shares outstanding</t>
  </si>
  <si>
    <t>Customers</t>
  </si>
  <si>
    <t>Nubank - in millions</t>
  </si>
  <si>
    <t>Q114</t>
  </si>
  <si>
    <t>Q214</t>
  </si>
  <si>
    <t>Q314</t>
  </si>
  <si>
    <t>Q414</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</si>
  <si>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</si>
  <si>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</si>
  <si>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</si>
  <si>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</si>
  <si>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</si>
  <si>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</si>
  <si>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</si>
  <si>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</si>
  <si>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</si>
  <si>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</si>
  <si>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</si>
  <si>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</si>
  <si>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</si>
  <si>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</si>
  <si>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</si>
  <si>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</si>
  <si>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</si>
  <si>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</si>
  <si>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</si>
  <si>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</si>
  <si>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</si>
  <si>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</si>
  <si>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Timeline observation</t>
  </si>
  <si>
    <t>Nubank rewards</t>
  </si>
  <si>
    <t>Bank account</t>
  </si>
  <si>
    <t>Debit card</t>
  </si>
  <si>
    <t>Personal loans</t>
  </si>
  <si>
    <t>SME Bank account</t>
  </si>
  <si>
    <t>Nu Mexico</t>
  </si>
  <si>
    <t>Nulife</t>
  </si>
  <si>
    <t>Nu colombia</t>
  </si>
  <si>
    <t>Easynvest acquisition</t>
  </si>
  <si>
    <t>Ultraviolet, BNPL, FX Remittance</t>
  </si>
  <si>
    <t xml:space="preserve">Secured credit (Creditas), </t>
  </si>
  <si>
    <t>Spin pay acquisition</t>
  </si>
  <si>
    <t>Geographic Mix</t>
  </si>
  <si>
    <t>Brazil</t>
  </si>
  <si>
    <t>Mexico</t>
  </si>
  <si>
    <t>Colombia</t>
  </si>
  <si>
    <t>Loan Portfolio (%)</t>
  </si>
  <si>
    <t>Othe fee income</t>
  </si>
  <si>
    <t>Yield</t>
  </si>
  <si>
    <t>Credit</t>
  </si>
  <si>
    <t>Debit</t>
  </si>
  <si>
    <t>Purchased Volume (bn)</t>
  </si>
  <si>
    <t>Interchange fees Revenue</t>
  </si>
  <si>
    <t>Implied Yield</t>
  </si>
  <si>
    <t>Implied Credit %</t>
  </si>
  <si>
    <t>Implied Debit %</t>
  </si>
  <si>
    <t>150bps</t>
  </si>
  <si>
    <t>Assumed Credit fee</t>
  </si>
  <si>
    <t>50bps</t>
  </si>
  <si>
    <t>Current</t>
  </si>
  <si>
    <t>Instalments</t>
  </si>
  <si>
    <t>Revolving</t>
  </si>
  <si>
    <t>Loans rates</t>
  </si>
  <si>
    <t>Implied Credit Volume (USD bn)</t>
  </si>
  <si>
    <t>Implied Debit Volume (USD bn)</t>
  </si>
  <si>
    <t>Assumed Debit fee</t>
  </si>
  <si>
    <t>9m 21</t>
  </si>
  <si>
    <t>Brazilian market</t>
  </si>
  <si>
    <t>Nubank's share</t>
  </si>
  <si>
    <t>Credit card revenue</t>
  </si>
  <si>
    <t>Credit card loan portfolio</t>
  </si>
  <si>
    <t>USDBRL</t>
  </si>
  <si>
    <t>% of active clients using personal loans</t>
  </si>
  <si>
    <t>Average personal loan/active client (USD)</t>
  </si>
  <si>
    <t>Average Credit card loan/active client (USD)</t>
  </si>
  <si>
    <t># of active personal loans</t>
  </si>
  <si>
    <t>%yoy</t>
  </si>
  <si>
    <t>Total processed volume in Brazil (Credit + Debit) - BRL billions</t>
  </si>
  <si>
    <t>Nubank's share of processed volume in cards</t>
  </si>
  <si>
    <t>QoQ</t>
  </si>
  <si>
    <t>% of deposits</t>
  </si>
  <si>
    <t>% of CDI</t>
  </si>
  <si>
    <t>Deposits/active client</t>
  </si>
  <si>
    <t>Population</t>
  </si>
  <si>
    <t># of active credit cards</t>
  </si>
  <si>
    <t>% of Nubank clients in Brazil</t>
  </si>
  <si>
    <t>% of Nubank active clients with a credit card</t>
  </si>
  <si>
    <t>Credit card penetration</t>
  </si>
  <si>
    <t>Card holders, million</t>
  </si>
  <si>
    <t>Cards/holder</t>
  </si>
  <si>
    <t>Nubank active credit cards</t>
  </si>
  <si>
    <t>% of Nubank clients in Mexico</t>
  </si>
  <si>
    <t>% of Nubank clients in Colombia</t>
  </si>
  <si>
    <t>Nubank active clients in Brazil (millions)</t>
  </si>
  <si>
    <t>Nubank active clients in Mexico (millions)</t>
  </si>
  <si>
    <t>Nubank active clients in Colombia (millions)</t>
  </si>
  <si>
    <t>Nubank credit card mkt share in Brazil</t>
  </si>
  <si>
    <t>Nubank credit card mkt share in Mexico</t>
  </si>
  <si>
    <t>Nubank credit card mkt share in Colombia</t>
  </si>
  <si>
    <t>Mexican loan Portfolio (USD millions)</t>
  </si>
  <si>
    <t>Loan Portfolio</t>
  </si>
  <si>
    <t>Other fees</t>
  </si>
  <si>
    <t>Estimates - Interchange fee</t>
  </si>
  <si>
    <t>Credit (%)</t>
  </si>
  <si>
    <t>Debit (%)</t>
  </si>
  <si>
    <t>Credit (USD bn)</t>
  </si>
  <si>
    <t>Debit (USD bn)</t>
  </si>
  <si>
    <t>Credit interchange fee (bps)</t>
  </si>
  <si>
    <t>Debit interchange fee (bps)</t>
  </si>
  <si>
    <t>Total processed volume in Mexico (Credit + Debit) - USD millions</t>
  </si>
  <si>
    <t>Total processed volume in Brazil (Credit + Debit) - COL millions</t>
  </si>
  <si>
    <t>Nubank's share of processed volume in cards - Colombia</t>
  </si>
  <si>
    <t>Nubank's share of processed volume in cards - Mexico</t>
  </si>
  <si>
    <t>USDMXN</t>
  </si>
  <si>
    <t>USDCOL</t>
  </si>
  <si>
    <t>% of credit card receivables</t>
  </si>
  <si>
    <t>Total processed volume in Brazil (Credit + Debit) - USD billions</t>
  </si>
  <si>
    <t>Total processed volume in Mexico (Credit + Debit) - MXN billions</t>
  </si>
  <si>
    <t>deposits</t>
  </si>
  <si>
    <t>% of Loan portfolio</t>
  </si>
  <si>
    <t>Population (millions)</t>
  </si>
  <si>
    <t>Purchase volume in Brazil (in US$ billions)</t>
  </si>
  <si>
    <t>Purchase volume in Mexico (in US$ billions)</t>
  </si>
  <si>
    <t>Purchase volume in Colombia (in US$ billions)</t>
  </si>
  <si>
    <t>Credit Transactions (%)</t>
  </si>
  <si>
    <t>Debit Transactions (%)</t>
  </si>
  <si>
    <t>Implied Yield (%)</t>
  </si>
  <si>
    <t>NPL - Nubank</t>
  </si>
  <si>
    <t>NPL - Banco Inter</t>
  </si>
  <si>
    <t>Banco Inter</t>
  </si>
  <si>
    <t>Other services</t>
  </si>
  <si>
    <t>Marketplace</t>
  </si>
  <si>
    <t>Insurance</t>
  </si>
  <si>
    <t>Investments</t>
  </si>
  <si>
    <t>Active clients</t>
  </si>
  <si>
    <t>GMV/active clients</t>
  </si>
  <si>
    <t>GMV (BRL millions)</t>
  </si>
  <si>
    <t>Total active clients</t>
  </si>
  <si>
    <t>% of active clients</t>
  </si>
  <si>
    <t>Total GMV (BRL millions)</t>
  </si>
  <si>
    <t>Take rate</t>
  </si>
  <si>
    <t>USD/active client</t>
  </si>
  <si>
    <t>Total GMV (USD millions)</t>
  </si>
  <si>
    <t>R$/ Active client</t>
  </si>
  <si>
    <t>USD/ Active client</t>
  </si>
  <si>
    <t>Banking Revenues</t>
  </si>
  <si>
    <t>Total Revenues</t>
  </si>
  <si>
    <t>Other businesses</t>
  </si>
  <si>
    <t>Othee income on fin instr.</t>
  </si>
  <si>
    <t>Class A issued</t>
  </si>
  <si>
    <t>Class B issued</t>
  </si>
  <si>
    <t>Issuance Price</t>
  </si>
  <si>
    <t>Issuance, US$ m</t>
  </si>
  <si>
    <t>Fees</t>
  </si>
  <si>
    <t>Revenue</t>
  </si>
  <si>
    <t>Inter, BRL</t>
  </si>
  <si>
    <t>Inter, USD</t>
  </si>
  <si>
    <t>Nubank, USD</t>
  </si>
  <si>
    <t>21-25e CAGR</t>
  </si>
  <si>
    <t>% change</t>
  </si>
  <si>
    <t>Credit cards</t>
  </si>
  <si>
    <t>as % active subs</t>
  </si>
  <si>
    <t>% share</t>
  </si>
  <si>
    <t>Cards / user</t>
  </si>
  <si>
    <t>Card users</t>
  </si>
  <si>
    <t>Penetration</t>
  </si>
  <si>
    <t>Nubank cards</t>
  </si>
  <si>
    <t>Split of CCs</t>
  </si>
  <si>
    <t>Total</t>
  </si>
  <si>
    <t>Interest income, gains (losses) on fin instruments</t>
  </si>
  <si>
    <t>Interchange</t>
  </si>
  <si>
    <t>Total revenue</t>
  </si>
  <si>
    <t xml:space="preserve"> - of which CC</t>
  </si>
  <si>
    <t xml:space="preserve"> - of which personal/other</t>
  </si>
  <si>
    <t xml:space="preserve"> - of which other (inc gains)</t>
  </si>
  <si>
    <t>P&amp;L</t>
  </si>
  <si>
    <t>USD millions</t>
  </si>
  <si>
    <t>New services</t>
  </si>
  <si>
    <t>Total New services</t>
  </si>
  <si>
    <t>Other fee income</t>
  </si>
  <si>
    <t>Total Interchange/fee income</t>
  </si>
  <si>
    <t>Active subs, millions</t>
  </si>
  <si>
    <t>Credit cards by country, millions</t>
  </si>
  <si>
    <t>Market cards, millions</t>
  </si>
  <si>
    <t>USD Millions</t>
  </si>
  <si>
    <t>Share Price (USD)</t>
  </si>
  <si>
    <t>% margin</t>
  </si>
  <si>
    <t>Nubank - in USD Millions</t>
  </si>
  <si>
    <t>Net debt</t>
  </si>
  <si>
    <t>Q1 21</t>
  </si>
  <si>
    <t>Q2 21</t>
  </si>
  <si>
    <t>Q3 21</t>
  </si>
  <si>
    <t>Revenue, y/y</t>
  </si>
  <si>
    <t>g</t>
  </si>
  <si>
    <t>Terminal growth</t>
  </si>
  <si>
    <t>NPV CFs</t>
  </si>
  <si>
    <t>PV of terminal value</t>
  </si>
  <si>
    <t>SHOUT</t>
  </si>
  <si>
    <t>EFCF</t>
  </si>
  <si>
    <t>Class A Issuance</t>
  </si>
  <si>
    <t>q/q change</t>
  </si>
  <si>
    <t>% growth</t>
  </si>
  <si>
    <t>Active subs</t>
  </si>
  <si>
    <t>Registered subs</t>
  </si>
  <si>
    <t>ARPU</t>
  </si>
  <si>
    <t>ARPU, USD</t>
  </si>
  <si>
    <t>ARPU, BRL</t>
  </si>
  <si>
    <t>Inter</t>
  </si>
  <si>
    <t>Pagbank</t>
  </si>
  <si>
    <t>PicPay</t>
  </si>
  <si>
    <t>BRL</t>
  </si>
  <si>
    <t>Itau, Bradesco, Santander</t>
  </si>
  <si>
    <t>Nubank's BR credit card market share</t>
  </si>
  <si>
    <t>Revenues</t>
  </si>
  <si>
    <t>TAM</t>
  </si>
  <si>
    <t>% of TAM</t>
  </si>
  <si>
    <t>Tinkoff</t>
  </si>
  <si>
    <t>Net income margin</t>
  </si>
  <si>
    <t>Personal loans Portfolio</t>
  </si>
  <si>
    <t>Revenue (USD bn)</t>
  </si>
  <si>
    <t>Price, USD</t>
  </si>
  <si>
    <t>Market Cap</t>
  </si>
  <si>
    <t>Financial/Operational</t>
  </si>
  <si>
    <t>Gross profit</t>
  </si>
  <si>
    <t>nm</t>
  </si>
  <si>
    <t>Operating income</t>
  </si>
  <si>
    <t>Net income (GAAP)</t>
  </si>
  <si>
    <t>EPS</t>
  </si>
  <si>
    <t>DPS</t>
  </si>
  <si>
    <t>Interest income</t>
  </si>
  <si>
    <t>Fee income</t>
  </si>
  <si>
    <t>USD m</t>
  </si>
  <si>
    <t>Brazilian mkt share</t>
  </si>
  <si>
    <t>Mortgages</t>
  </si>
  <si>
    <t>Payroll</t>
  </si>
  <si>
    <t>Auto</t>
  </si>
  <si>
    <t>Interest earning portfolio</t>
  </si>
  <si>
    <t>Credit card loans</t>
  </si>
  <si>
    <t>Total interest income</t>
  </si>
  <si>
    <t>Interest income - Credit cards</t>
  </si>
  <si>
    <t>Implied yield</t>
  </si>
  <si>
    <t>Interest income - Personal loans</t>
  </si>
  <si>
    <t>Retail Credit - Mexico</t>
  </si>
  <si>
    <t>Retail Credit - Colombia</t>
  </si>
  <si>
    <t>2021*</t>
  </si>
  <si>
    <t>Picpay</t>
  </si>
  <si>
    <t>Mercado pago</t>
  </si>
  <si>
    <t>PagBank</t>
  </si>
  <si>
    <t>P/B</t>
  </si>
  <si>
    <t>CAC</t>
  </si>
  <si>
    <t>Cost of funding</t>
  </si>
  <si>
    <t>efficience gain (loss)</t>
  </si>
  <si>
    <t>Increase in take rate</t>
  </si>
  <si>
    <t>Increase in revenue/client (USD)</t>
  </si>
  <si>
    <t>Decrease in funding costs (% of CDI)</t>
  </si>
  <si>
    <t># of active credit cards (millions)</t>
  </si>
  <si>
    <t>9m 20</t>
  </si>
  <si>
    <t>CDI 2022</t>
  </si>
  <si>
    <t>Net income margin vs CDI 2022</t>
  </si>
  <si>
    <t>Financial metrics, USD m</t>
  </si>
  <si>
    <t>Active clients, m</t>
  </si>
  <si>
    <t>CC loan portfolio, USD m</t>
  </si>
  <si>
    <t>Personal loans, USD m</t>
  </si>
  <si>
    <t># of active cc's, m</t>
  </si>
  <si>
    <t>Loan book</t>
  </si>
  <si>
    <t>9m 2021</t>
  </si>
  <si>
    <t>Nubank cc receivables</t>
  </si>
  <si>
    <t>MercadoLibre</t>
  </si>
  <si>
    <t xml:space="preserve">BRL </t>
  </si>
  <si>
    <t>Stone</t>
  </si>
  <si>
    <t>Nubank personal loans</t>
  </si>
  <si>
    <t>Share of TAM</t>
  </si>
  <si>
    <t>Market</t>
  </si>
  <si>
    <t>Nubank's Revenue share</t>
  </si>
  <si>
    <t>Take up of new services</t>
  </si>
  <si>
    <t>Insurance as % Active</t>
  </si>
  <si>
    <t>Insurance subs</t>
  </si>
  <si>
    <t>Marketplace subs</t>
  </si>
  <si>
    <t>Active clients, millions</t>
  </si>
  <si>
    <t>Scaling factor</t>
  </si>
  <si>
    <t>Sense check: Br GMV, BRL millions</t>
  </si>
  <si>
    <t>Regional GMV, BRL millions</t>
  </si>
  <si>
    <t>Nubank share</t>
  </si>
  <si>
    <t>GMV/active clients, $</t>
  </si>
  <si>
    <t>GMV/active clients, BRL</t>
  </si>
  <si>
    <t>Marketplace as % Active</t>
  </si>
  <si>
    <t>ARPU, $</t>
  </si>
  <si>
    <t>GMV/sub, $</t>
  </si>
  <si>
    <t>CC loan book by country, USD m</t>
  </si>
  <si>
    <t>Personal/other loans, USD m</t>
  </si>
  <si>
    <t>Transaction expenses</t>
  </si>
  <si>
    <t>PBT</t>
  </si>
  <si>
    <t>margin</t>
  </si>
  <si>
    <t>A shares</t>
  </si>
  <si>
    <t>B shares</t>
  </si>
  <si>
    <t>David Velez</t>
  </si>
  <si>
    <t>Split</t>
  </si>
  <si>
    <t>Voting</t>
  </si>
  <si>
    <t>Cristina Helena Zingaretti Junqueira</t>
  </si>
  <si>
    <t>NU (NYSE)</t>
  </si>
  <si>
    <t xml:space="preserve">retail </t>
  </si>
  <si>
    <t>net income</t>
  </si>
  <si>
    <t>Itau</t>
  </si>
  <si>
    <t>30m credit cards</t>
  </si>
  <si>
    <t>credit</t>
  </si>
  <si>
    <t>cards</t>
  </si>
  <si>
    <t>Usage/card</t>
  </si>
  <si>
    <t>Usage/card per month</t>
  </si>
  <si>
    <t xml:space="preserve">equity </t>
  </si>
  <si>
    <t>loans</t>
  </si>
  <si>
    <t>loans to explode</t>
  </si>
  <si>
    <t>interest loans</t>
  </si>
  <si>
    <t>risk weighted assets/assets</t>
  </si>
  <si>
    <t>bank</t>
  </si>
  <si>
    <t>70-90%</t>
  </si>
  <si>
    <t>capital density</t>
  </si>
  <si>
    <t>Tier 1</t>
  </si>
  <si>
    <t>regulatory issues??</t>
  </si>
  <si>
    <t>growing loans…</t>
  </si>
  <si>
    <t>Need to run with higher Tier 1</t>
  </si>
  <si>
    <t>deposit base</t>
  </si>
  <si>
    <t>up 77%</t>
  </si>
  <si>
    <t>limit to how quickly</t>
  </si>
  <si>
    <t>other types of funding</t>
  </si>
  <si>
    <t>LT - run with some extra buffers</t>
  </si>
  <si>
    <t>Mexico 35%</t>
  </si>
  <si>
    <t>cc</t>
  </si>
  <si>
    <t>loan port</t>
  </si>
  <si>
    <t>Guidance</t>
  </si>
  <si>
    <t>majority</t>
  </si>
  <si>
    <t>charge</t>
  </si>
  <si>
    <t>Interest earning</t>
  </si>
  <si>
    <t>asset yield</t>
  </si>
  <si>
    <t>int from earnings/int earning portfolio</t>
  </si>
  <si>
    <t>NPLs over int earning</t>
  </si>
  <si>
    <t>Funding cost</t>
  </si>
  <si>
    <t>NPL</t>
  </si>
  <si>
    <t>over interest earning</t>
  </si>
  <si>
    <t>GDP</t>
  </si>
  <si>
    <t>inf</t>
  </si>
  <si>
    <t>nom</t>
  </si>
  <si>
    <t>real</t>
  </si>
  <si>
    <t>Equity to Assets</t>
  </si>
  <si>
    <t>Loans to Equity</t>
  </si>
  <si>
    <t>Tier 1 Capital (%)</t>
  </si>
  <si>
    <t>Return on assets</t>
  </si>
  <si>
    <t>Total loans to total deposits</t>
  </si>
  <si>
    <t>Tier 1 capital</t>
  </si>
  <si>
    <t>Risk weighted assets</t>
  </si>
  <si>
    <t>9m21</t>
  </si>
  <si>
    <t>% of total asset base</t>
  </si>
  <si>
    <t>EV/Gross profit</t>
  </si>
  <si>
    <t>Company guidance</t>
  </si>
  <si>
    <t>Nu credit cards</t>
  </si>
  <si>
    <t>Nu personal loans</t>
  </si>
  <si>
    <t>Inter SME</t>
  </si>
  <si>
    <t>Inter Payroll</t>
  </si>
  <si>
    <t>Inter Real estate</t>
  </si>
  <si>
    <t>Blended yield</t>
  </si>
  <si>
    <t>Nu Group</t>
  </si>
  <si>
    <t>Inter Group*</t>
  </si>
  <si>
    <t>TPV</t>
  </si>
  <si>
    <t>Loans</t>
  </si>
  <si>
    <t xml:space="preserve"> Credit cards</t>
  </si>
  <si>
    <t xml:space="preserve"> Personal loans</t>
  </si>
  <si>
    <t xml:space="preserve"> SME</t>
  </si>
  <si>
    <t xml:space="preserve"> BNPL</t>
  </si>
  <si>
    <t>Net profit</t>
  </si>
  <si>
    <t>NSR</t>
  </si>
  <si>
    <t>% diff</t>
  </si>
  <si>
    <t>Additions</t>
  </si>
  <si>
    <t>Reversals</t>
  </si>
  <si>
    <t>Net increase of loss allowance (note 13)</t>
  </si>
  <si>
    <t>Recovery</t>
  </si>
  <si>
    <t>Net increase of loss allowance (note 14)</t>
  </si>
  <si>
    <t>Q3 20</t>
  </si>
  <si>
    <t>NPLs</t>
  </si>
  <si>
    <t>FY 20</t>
  </si>
  <si>
    <t>FY 19</t>
  </si>
  <si>
    <t>FY 18</t>
  </si>
  <si>
    <t>Implied CC interest earning</t>
  </si>
  <si>
    <t>as % total</t>
  </si>
  <si>
    <t>Total (charge to P&amp;L)</t>
  </si>
  <si>
    <t>CC balance sheet provision</t>
  </si>
  <si>
    <t>Personal loan provision</t>
  </si>
  <si>
    <t>Gross lending provision</t>
  </si>
  <si>
    <t>BS (net)</t>
  </si>
  <si>
    <t>BS (gross)</t>
  </si>
  <si>
    <t>Provision as % gross</t>
  </si>
  <si>
    <t>Loans on BS</t>
  </si>
  <si>
    <t xml:space="preserve"> </t>
  </si>
  <si>
    <t>% of Average loans</t>
  </si>
  <si>
    <t>Loans to deposits</t>
  </si>
  <si>
    <t>Interest as %</t>
  </si>
  <si>
    <t>Clean int income</t>
  </si>
  <si>
    <t>Other interest income</t>
  </si>
  <si>
    <t>Total yield</t>
  </si>
  <si>
    <t>Funding</t>
  </si>
  <si>
    <t>Int expense</t>
  </si>
  <si>
    <t>Spread</t>
  </si>
  <si>
    <t>Yield (on loan)</t>
  </si>
  <si>
    <t>Clean interest income</t>
  </si>
  <si>
    <t xml:space="preserve">Spread </t>
  </si>
  <si>
    <t>Nu</t>
  </si>
  <si>
    <t>Guide</t>
  </si>
  <si>
    <t>Net loan book</t>
  </si>
  <si>
    <t>Working capital</t>
  </si>
  <si>
    <t>Total gross</t>
  </si>
  <si>
    <t>Provisions</t>
  </si>
  <si>
    <t>Net loans ex-credit cards</t>
  </si>
  <si>
    <t>Total net loan book</t>
  </si>
  <si>
    <t>less funding</t>
  </si>
  <si>
    <t>less credit losses</t>
  </si>
  <si>
    <t>NII after losses</t>
  </si>
  <si>
    <t>Transactional expenses (inc chargebacks)</t>
  </si>
  <si>
    <t>Blended</t>
  </si>
  <si>
    <t>Annualised return (NII) as % net loan book</t>
  </si>
  <si>
    <t>Other A shares*</t>
  </si>
  <si>
    <t>Key shareholders</t>
  </si>
  <si>
    <t>Sequoia</t>
  </si>
  <si>
    <t>DST</t>
  </si>
  <si>
    <t>Tencent</t>
  </si>
  <si>
    <t>Tiger</t>
  </si>
  <si>
    <t>Issued in IPO</t>
  </si>
  <si>
    <t>Credit Card loans Portfolion (RHS)</t>
  </si>
  <si>
    <t>Br revs as % total</t>
  </si>
  <si>
    <t>Country</t>
  </si>
  <si>
    <t>% Unbanked*</t>
  </si>
  <si>
    <t>Internet penetration (%)*</t>
  </si>
  <si>
    <t>USA</t>
  </si>
  <si>
    <t>Indonesia</t>
  </si>
  <si>
    <t>Phillipines</t>
  </si>
  <si>
    <t>Vietnam</t>
  </si>
  <si>
    <t>Argentina</t>
  </si>
  <si>
    <t>Peru</t>
  </si>
  <si>
    <t>Chile</t>
  </si>
  <si>
    <t>International expansion opportunity</t>
  </si>
  <si>
    <t xml:space="preserve">Credit revenue </t>
  </si>
  <si>
    <t xml:space="preserve">Own BS funding </t>
  </si>
  <si>
    <t>3rd-party funding</t>
  </si>
  <si>
    <t>Regulatory capital requirements</t>
  </si>
  <si>
    <t>Requirement for payments intitutions</t>
  </si>
  <si>
    <t>of last 12M monthly TPV</t>
  </si>
  <si>
    <t>Pre-IPO shareholder's equity</t>
  </si>
  <si>
    <t>Monthly TPV</t>
  </si>
  <si>
    <t>Last 12 months TPV</t>
  </si>
  <si>
    <t>Estimates</t>
  </si>
  <si>
    <t>Estimates (using post-IPO shareholder's equity)</t>
  </si>
  <si>
    <t>Post-IPO shareholder's equity</t>
  </si>
  <si>
    <t>Shareholder's equity as a % of monthly TPV</t>
  </si>
  <si>
    <t>Shareholder's equity</t>
  </si>
  <si>
    <t>Total TPV</t>
  </si>
  <si>
    <t>Banco Inter (BRL millions)</t>
  </si>
  <si>
    <t>Nubank (USD millions)</t>
  </si>
  <si>
    <t>Requirement for Inter</t>
  </si>
  <si>
    <t>Requirements for Banks</t>
  </si>
  <si>
    <t>Credit card loans Risk weighted assets (RWA) %</t>
  </si>
  <si>
    <t>Basel capital requirements</t>
  </si>
  <si>
    <t>Leverage on RWA</t>
  </si>
  <si>
    <t>Capital required</t>
  </si>
  <si>
    <t>Leverage on loans</t>
  </si>
  <si>
    <t>Interest bearing credit card loans (% of total)</t>
  </si>
  <si>
    <t>Credito (Pago)</t>
  </si>
  <si>
    <t>PAN</t>
  </si>
  <si>
    <t>Itau (small, individuals)</t>
  </si>
  <si>
    <t>Inter  (Payroll)</t>
  </si>
  <si>
    <t>Inter  (Real estate)</t>
  </si>
  <si>
    <t>Inter (Group)</t>
  </si>
  <si>
    <t>Itau (Group)</t>
  </si>
  <si>
    <t>Inter  (SME)</t>
  </si>
  <si>
    <t>NU US</t>
  </si>
  <si>
    <t>EBITDA</t>
  </si>
  <si>
    <t>Nubank - USD</t>
  </si>
  <si>
    <t>Gross revenue</t>
  </si>
  <si>
    <t xml:space="preserve">Net revenue </t>
  </si>
  <si>
    <t>Subscribers (registered)</t>
  </si>
  <si>
    <t>Subscribers (active)</t>
  </si>
  <si>
    <t>ARPU (active)</t>
  </si>
  <si>
    <t>Acquiring TPV (for Payment cos)</t>
  </si>
  <si>
    <t>Shareholders equity</t>
  </si>
  <si>
    <t>Total assets (average)</t>
  </si>
  <si>
    <t>Share count (SHOUT)</t>
  </si>
  <si>
    <t>Net debt (relevant for Payment companies)</t>
  </si>
  <si>
    <t>+ Other EV adjustments, if relevant</t>
  </si>
  <si>
    <t>Cons</t>
  </si>
  <si>
    <t>Q4 21</t>
  </si>
  <si>
    <t>diff</t>
  </si>
  <si>
    <t>Q4 20</t>
  </si>
  <si>
    <t>y/y</t>
  </si>
  <si>
    <t>Net interest margin</t>
  </si>
  <si>
    <t>Banking</t>
  </si>
  <si>
    <t>Total clients, m</t>
  </si>
  <si>
    <t>Net adds</t>
  </si>
  <si>
    <t>Cards</t>
  </si>
  <si>
    <t># of active credit cards, m</t>
  </si>
  <si>
    <t xml:space="preserve"> - Credit card</t>
  </si>
  <si>
    <t xml:space="preserve"> - Debit card</t>
  </si>
  <si>
    <t>GMV</t>
  </si>
  <si>
    <t>Insurance platform</t>
  </si>
  <si>
    <t>Clients, m</t>
  </si>
  <si>
    <t>Investment platform</t>
  </si>
  <si>
    <t>Assets under administration</t>
  </si>
  <si>
    <t>NPL (Overall)</t>
  </si>
  <si>
    <t>Q1 19</t>
  </si>
  <si>
    <t>Q2 19</t>
  </si>
  <si>
    <t>Q3 19</t>
  </si>
  <si>
    <t>Q4 19</t>
  </si>
  <si>
    <t>Q1 20</t>
  </si>
  <si>
    <t>Q2 20</t>
  </si>
  <si>
    <t>Banco Pan</t>
  </si>
  <si>
    <t>Bradesco</t>
  </si>
  <si>
    <t>Market (Central Bank)</t>
  </si>
  <si>
    <t>USD mn</t>
  </si>
  <si>
    <t>Credit portfolio, USD m</t>
  </si>
  <si>
    <t>Other Services, USD m</t>
  </si>
  <si>
    <t>Purchase volume, USD bn</t>
  </si>
  <si>
    <t>ARPU, USD / month</t>
  </si>
  <si>
    <t>Net income, GAAP</t>
  </si>
  <si>
    <t>Net interest income</t>
  </si>
  <si>
    <t xml:space="preserve">of which </t>
  </si>
  <si>
    <t>NIM (%)</t>
  </si>
  <si>
    <t>Gross profit margin</t>
  </si>
  <si>
    <t>Customer program ("Nusocios")</t>
  </si>
  <si>
    <t>Nubank active clients (Brazil, Mexico and Colombia) - year end</t>
  </si>
  <si>
    <t>In Brazil</t>
  </si>
  <si>
    <t>In Mexico</t>
  </si>
  <si>
    <t>In Colombia</t>
  </si>
  <si>
    <t>engagement ratio</t>
  </si>
  <si>
    <t>Active clients In Brazil</t>
  </si>
  <si>
    <t>Active clients In Mexico</t>
  </si>
  <si>
    <t>Active clients In Colombia</t>
  </si>
  <si>
    <t>Repurchase agreements</t>
  </si>
  <si>
    <t>Customer Program</t>
  </si>
  <si>
    <t>Losses (gains) on others investments</t>
  </si>
  <si>
    <t>Interest received</t>
  </si>
  <si>
    <t>Equity instrument</t>
  </si>
  <si>
    <t>Issuance of preferred shares</t>
  </si>
  <si>
    <t>Issuance of shares under IPO</t>
  </si>
  <si>
    <t>Transactions costs from IPO</t>
  </si>
  <si>
    <t>Fee and Comm income</t>
  </si>
  <si>
    <t>Interest and fin expenses</t>
  </si>
  <si>
    <t>Transactional exp</t>
  </si>
  <si>
    <t>Credit losses</t>
  </si>
  <si>
    <t>Card receivables</t>
  </si>
  <si>
    <t>Balance sheet</t>
  </si>
  <si>
    <t>Total net</t>
  </si>
  <si>
    <t>growth</t>
  </si>
  <si>
    <t>ARPU, USD (reported)</t>
  </si>
  <si>
    <t>ARPU, USD (calc)</t>
  </si>
  <si>
    <t>tier 1</t>
  </si>
  <si>
    <t>tier 2</t>
  </si>
  <si>
    <t>common equity, disclosed reserves</t>
  </si>
  <si>
    <t>second layer, inc. revaluation reserves, general provisions</t>
  </si>
  <si>
    <t>total capital</t>
  </si>
  <si>
    <t>loan A</t>
  </si>
  <si>
    <t>riskiness</t>
  </si>
  <si>
    <t>loan B</t>
  </si>
  <si>
    <t>total</t>
  </si>
  <si>
    <t>rwa</t>
  </si>
  <si>
    <t>adequacy ration</t>
  </si>
  <si>
    <t>tier 1 ratio</t>
  </si>
  <si>
    <t>Example</t>
  </si>
  <si>
    <t>loan</t>
  </si>
  <si>
    <t>Capital adequacy</t>
  </si>
  <si>
    <t>Credit RWA</t>
  </si>
  <si>
    <t xml:space="preserve"> - of which personal loans</t>
  </si>
  <si>
    <t>Payments RWA</t>
  </si>
  <si>
    <t xml:space="preserve"> - of which Outstanding balance</t>
  </si>
  <si>
    <t xml:space="preserve"> - of which TPV</t>
  </si>
  <si>
    <t>Monthly average TPV (Credit and Debit)</t>
  </si>
  <si>
    <t>Balance of electronic currencies (daily)</t>
  </si>
  <si>
    <t>Growth</t>
  </si>
  <si>
    <t>Interest bearing credit card receivables</t>
  </si>
  <si>
    <t>% of book in interest-bearing</t>
  </si>
  <si>
    <t>% of book in revolving</t>
  </si>
  <si>
    <t>Reference Equity (Tier 1 and Tier 2)</t>
  </si>
  <si>
    <t>2021-old</t>
  </si>
  <si>
    <t>2021-new</t>
  </si>
  <si>
    <t>Interest bearing portfolio</t>
  </si>
  <si>
    <t xml:space="preserve"> - of which Installments</t>
  </si>
  <si>
    <t xml:space="preserve"> - of which Revolving</t>
  </si>
  <si>
    <t>% of receivables</t>
  </si>
  <si>
    <t>Total limit</t>
  </si>
  <si>
    <t>% of limit used (estimated)</t>
  </si>
  <si>
    <t>Credit conversion factor (FCC)</t>
  </si>
  <si>
    <t>Tier 2 capital</t>
  </si>
  <si>
    <t xml:space="preserve"> - of Common Equity</t>
  </si>
  <si>
    <t>Basel Ratio (Actual)</t>
  </si>
  <si>
    <t>Balance for 14% Basel</t>
  </si>
  <si>
    <t>New estimates</t>
  </si>
  <si>
    <t>Diff</t>
  </si>
  <si>
    <t>Operating Income</t>
  </si>
  <si>
    <t>Loan Portfolio Period-end</t>
  </si>
  <si>
    <t>TP</t>
  </si>
  <si>
    <t>Other services - revenues</t>
  </si>
  <si>
    <t>Transactors' credit</t>
  </si>
  <si>
    <t>Total credit card portfolio</t>
  </si>
  <si>
    <t>Revolvers' credit (Interest-earning)</t>
  </si>
  <si>
    <t>Factor to Revolver's credit</t>
  </si>
  <si>
    <t>Credit RWA associated to Revolver's credit</t>
  </si>
  <si>
    <t xml:space="preserve">Factor to Transactors' credit </t>
  </si>
  <si>
    <t>Total credit card portfolio RWA related to used cc limit</t>
  </si>
  <si>
    <t>Capital required (for Basel of 10.5%)</t>
  </si>
  <si>
    <t>Capital required (for Basel of 14%)</t>
  </si>
  <si>
    <t>Operational RWA</t>
  </si>
  <si>
    <t>Market RWA</t>
  </si>
  <si>
    <t xml:space="preserve"> - of which Credit card used limit (Table 1)</t>
  </si>
  <si>
    <t xml:space="preserve"> - of which Credit card unused limit (Table 2)</t>
  </si>
  <si>
    <t>Personal loans / other</t>
  </si>
  <si>
    <t>Implied interest yield</t>
  </si>
  <si>
    <t>Implied net interest expense</t>
  </si>
  <si>
    <t>% of securities</t>
  </si>
  <si>
    <t>Annualised</t>
  </si>
  <si>
    <t>as % of CDI</t>
  </si>
  <si>
    <t>- of which prepaid</t>
  </si>
  <si>
    <t>- of which debit</t>
  </si>
  <si>
    <t>- of which credit</t>
  </si>
  <si>
    <t>Split of limit into:</t>
  </si>
  <si>
    <t xml:space="preserve">Transactors </t>
  </si>
  <si>
    <t>Credit conversion factor (FCC) - assume cancellable</t>
  </si>
  <si>
    <t xml:space="preserve">1/ Transactors </t>
  </si>
  <si>
    <t>2/ Revolvers</t>
  </si>
  <si>
    <t>Available limit (unused)</t>
  </si>
  <si>
    <t>CURRENT RECEIVABLES</t>
  </si>
  <si>
    <t>UNUSED LIMIT</t>
  </si>
  <si>
    <t>RWA related to Transactor's available limit (1)</t>
  </si>
  <si>
    <t>RWA related to Transactor's available limit (2)</t>
  </si>
  <si>
    <t>Total Credit RWA related to Available limit (1) + (2)</t>
  </si>
  <si>
    <t>Total (1)</t>
  </si>
  <si>
    <t>Total (2)</t>
  </si>
  <si>
    <t>Total (3)</t>
  </si>
  <si>
    <t>Total (4)</t>
  </si>
  <si>
    <t>Risk Weighted Assets, RWA (1) + (2) + (3) + (4)</t>
  </si>
  <si>
    <t>Factor to transactor's credit</t>
  </si>
  <si>
    <t>35% of total</t>
  </si>
  <si>
    <t>65% of total</t>
  </si>
  <si>
    <t>nu pagamentos</t>
  </si>
  <si>
    <t>adjustments</t>
  </si>
  <si>
    <t>intanigle assets</t>
  </si>
  <si>
    <t>deferred tax</t>
  </si>
  <si>
    <t>as a % of Total credit card portfolio</t>
  </si>
  <si>
    <t>Revolvers - cancelable (Assuming 35% of available limit)</t>
  </si>
  <si>
    <t>UNUSED</t>
  </si>
  <si>
    <t>Credit RWA associated to Transactors's credit</t>
  </si>
  <si>
    <t>VERSION II</t>
  </si>
  <si>
    <t xml:space="preserve"> - less revolver</t>
  </si>
  <si>
    <t xml:space="preserve"> - less interest-bearing instalment</t>
  </si>
  <si>
    <t>Adj cc loans</t>
  </si>
  <si>
    <t>Assumed ratio revolvers (LTM)</t>
  </si>
  <si>
    <t>Revolvers</t>
  </si>
  <si>
    <t>Implied Transactors</t>
  </si>
  <si>
    <t>RWA Revolvers</t>
  </si>
  <si>
    <t>RWA Transactors</t>
  </si>
  <si>
    <t>USED</t>
  </si>
  <si>
    <t>Assumed cc book as % total limit</t>
  </si>
  <si>
    <t>Total approved limit</t>
  </si>
  <si>
    <t>Unused approved</t>
  </si>
  <si>
    <t>FPR for Revolvers</t>
  </si>
  <si>
    <t>FPR for Transactors</t>
  </si>
  <si>
    <t>FCC (assume 100% cancelable)</t>
  </si>
  <si>
    <t>Apply BIS ratio</t>
  </si>
  <si>
    <t xml:space="preserve">Existing RWA </t>
  </si>
  <si>
    <t>Total Equity required</t>
  </si>
  <si>
    <t>Total RWA Used</t>
  </si>
  <si>
    <t>Total RWA Unused</t>
  </si>
  <si>
    <t>Additional Regulatory Capital required (1) + (2) less (3)</t>
  </si>
  <si>
    <t>Existing Equity required (2)</t>
  </si>
  <si>
    <t>New Equity required (1)</t>
  </si>
  <si>
    <t>Updated Regulatory Capital base (3)</t>
  </si>
  <si>
    <t>Total new RWA</t>
  </si>
  <si>
    <t>USD/BRL period end</t>
  </si>
  <si>
    <t>USD/BRL average</t>
  </si>
  <si>
    <t>Loan Portfolio (BRL millions)</t>
  </si>
  <si>
    <t>Assets</t>
  </si>
  <si>
    <t>Liabilities</t>
  </si>
  <si>
    <t>Balance Sheet assumptions - USD m</t>
  </si>
  <si>
    <t>Balance Sheet assumptions - BRL m</t>
  </si>
  <si>
    <t>Brazilian loan Portfolio (BRL millions)</t>
  </si>
  <si>
    <t>Average personal loan/active client (BRL)</t>
  </si>
  <si>
    <t>Average Credit card loan/active client (BRL)</t>
  </si>
  <si>
    <t>BRL revenue check</t>
  </si>
  <si>
    <t>as % of Revenues</t>
  </si>
  <si>
    <t>Q1 22</t>
  </si>
  <si>
    <t>FX Neutral</t>
  </si>
  <si>
    <t>Interest-earning portfolio</t>
  </si>
  <si>
    <t>NuTap</t>
  </si>
  <si>
    <t>NuPay</t>
  </si>
  <si>
    <t>Lock up</t>
  </si>
  <si>
    <t>NIM (as % net loans)</t>
  </si>
  <si>
    <t>In magnitude, much more significant than credit losses?</t>
  </si>
  <si>
    <t>Profitability</t>
  </si>
  <si>
    <t>No pressure to show profits to support stock?</t>
  </si>
  <si>
    <t>Any sellers, public disclosures here?</t>
  </si>
  <si>
    <t>Credit/ personal loans can cope with x2 level of baseline risk - explain this?</t>
  </si>
  <si>
    <t>Lending</t>
  </si>
  <si>
    <t>Moving into Acquiring</t>
  </si>
  <si>
    <t>How is this trending?</t>
  </si>
  <si>
    <t>Check - need to be pre-approved right?</t>
  </si>
  <si>
    <t>Continued confidence through Q2 (and since results)?</t>
  </si>
  <si>
    <t>Timing?</t>
  </si>
  <si>
    <t>How does that relate to NPL?</t>
  </si>
  <si>
    <t>Maths on this?</t>
  </si>
  <si>
    <t>What's the target here…? Relative to loan book</t>
  </si>
  <si>
    <t>Reduce the payout on deposits from 100% of CDI?</t>
  </si>
  <si>
    <t xml:space="preserve">Trending back to "normal" level </t>
  </si>
  <si>
    <t>SMEs</t>
  </si>
  <si>
    <t>How to think about this?</t>
  </si>
  <si>
    <t>Maintly interchange?</t>
  </si>
  <si>
    <t>How many cash cards vs credit</t>
  </si>
  <si>
    <t>Main concerns</t>
  </si>
  <si>
    <t>Growth to value</t>
  </si>
  <si>
    <t>How valuing</t>
  </si>
  <si>
    <t>Brazil asset quality cycle</t>
  </si>
  <si>
    <t>Given rapid growth</t>
  </si>
  <si>
    <t>smooth progress to pre-covid</t>
  </si>
  <si>
    <t>price discovery for stock</t>
  </si>
  <si>
    <t>NPLs down in pandemic</t>
  </si>
  <si>
    <t>Stopped spending</t>
  </si>
  <si>
    <t>Government income support, even to those who had not lost income</t>
  </si>
  <si>
    <t>Comments</t>
  </si>
  <si>
    <t>Historical lows globally</t>
  </si>
  <si>
    <t>15-90 in particular</t>
  </si>
  <si>
    <t>Seasonality  is a key issue</t>
  </si>
  <si>
    <t xml:space="preserve">80 bps </t>
  </si>
  <si>
    <t>2019 - credit card company</t>
  </si>
  <si>
    <t>higher NPL</t>
  </si>
  <si>
    <t>unsecured</t>
  </si>
  <si>
    <t>5% per month, 1% per month, 16-17% annualised losses</t>
  </si>
  <si>
    <t>5-6% typically</t>
  </si>
  <si>
    <t>write offs</t>
  </si>
  <si>
    <t>Data so far, portfolio still operating a pre-pandemic levels, while Brazil is back to where it was</t>
  </si>
  <si>
    <t>Investors want to see a flat line</t>
  </si>
  <si>
    <t>15-90 as lead indicator, most sensitive part of NPL, seasonality though</t>
  </si>
  <si>
    <t>90+ can see a longer trend , cleaner</t>
  </si>
  <si>
    <t>NPL does not mean higher provision per se</t>
  </si>
  <si>
    <t>Can increase yields  but up to adverse selection</t>
  </si>
  <si>
    <t>Provision</t>
  </si>
  <si>
    <t>up front</t>
  </si>
  <si>
    <t>per $100</t>
  </si>
  <si>
    <t>14-16%</t>
  </si>
  <si>
    <t>3 months break even</t>
  </si>
  <si>
    <t>Value to growth</t>
  </si>
  <si>
    <t>Cost of capital increase…things have absolutely changed</t>
  </si>
  <si>
    <t>Mindful of headcount…will slow</t>
  </si>
  <si>
    <t>Try to renegotiate cost</t>
  </si>
  <si>
    <t>Longer pay backs… marketplace, 7 years down to 2</t>
  </si>
  <si>
    <t>Colombia…more profitable</t>
  </si>
  <si>
    <t>Slow loan growth</t>
  </si>
  <si>
    <t>CAC…small, $5 per customer, x 25 million, meaningful</t>
  </si>
  <si>
    <t>OpEx - 52% allocated to developers</t>
  </si>
  <si>
    <t>Loan growth</t>
  </si>
  <si>
    <t>IPO loan growth</t>
  </si>
  <si>
    <t>largely anticipated the target</t>
  </si>
  <si>
    <t>H2 lower pace of growth</t>
  </si>
  <si>
    <t>Deposit rates</t>
  </si>
  <si>
    <t>Will probably happen at some point</t>
  </si>
  <si>
    <t>85% of NU balances rotate in 60 days</t>
  </si>
  <si>
    <t>convenience money….pay bills 30-60 days</t>
  </si>
  <si>
    <t>&lt;30 days, IOF</t>
  </si>
  <si>
    <t>customer tax</t>
  </si>
  <si>
    <t>15 days</t>
  </si>
  <si>
    <t>1 day</t>
  </si>
  <si>
    <t>transferred to customers</t>
  </si>
  <si>
    <t>30-60 days</t>
  </si>
  <si>
    <t>Need to explain this to customers</t>
  </si>
  <si>
    <t>$250m of interest paid</t>
  </si>
  <si>
    <t>EZ Invest and Nu Invest products, can offer alternative…for that held for more than 60 days</t>
  </si>
  <si>
    <t>EZ through next 2-3 quarters</t>
  </si>
  <si>
    <t>Q4 22 deposit cuts, throough 2023</t>
  </si>
  <si>
    <t>SMEs, 1.6m - as of Q1. What do you need?</t>
  </si>
  <si>
    <t>Acquiring before a credit card or loan product</t>
  </si>
  <si>
    <t>Solve this pain, don’t expect a large acquring business</t>
  </si>
  <si>
    <t>No POS device</t>
  </si>
  <si>
    <t>NPS - primary banking relationship</t>
  </si>
  <si>
    <t xml:space="preserve"> two thirds long tail</t>
  </si>
  <si>
    <t>2 strategies</t>
  </si>
  <si>
    <t>Nu Everywhere</t>
  </si>
  <si>
    <t>Wherever they are, choose payment solution</t>
  </si>
  <si>
    <t>Within Nu banking</t>
  </si>
  <si>
    <t>Targeting larger E-Comm players. Can be 30% of GMV of some partners</t>
  </si>
  <si>
    <t>Fraud risk is close to zero</t>
  </si>
  <si>
    <t>interest bearing instalments</t>
  </si>
  <si>
    <t>15 partners</t>
  </si>
  <si>
    <t>% of revs</t>
  </si>
  <si>
    <t>Interest on deposits decrease impact</t>
  </si>
  <si>
    <t>Current - 2% decrease/year</t>
  </si>
  <si>
    <t>2023 drop to 70%, then 5% yearly decrease</t>
  </si>
  <si>
    <t>2023 drop to 50%, then 5% yearly decrease</t>
  </si>
  <si>
    <t>Difference</t>
  </si>
  <si>
    <t>% y/y</t>
  </si>
  <si>
    <t>10% drop/year until 2025, then 5% drop/year</t>
  </si>
  <si>
    <t>Recharge fees</t>
  </si>
  <si>
    <t>Other fees and commission income</t>
  </si>
  <si>
    <t>% yield</t>
  </si>
  <si>
    <t>Credit (bn)</t>
  </si>
  <si>
    <t>Debit (bn)</t>
  </si>
  <si>
    <t>Credit take rate (%)</t>
  </si>
  <si>
    <t>Debit take rate (%)</t>
  </si>
  <si>
    <t>Nu-socios</t>
  </si>
  <si>
    <t>Blended NPL</t>
  </si>
  <si>
    <t>Personal loans weight</t>
  </si>
  <si>
    <t>Credit card weight</t>
  </si>
  <si>
    <t>Q4 19 NPL Constant mix</t>
  </si>
  <si>
    <t>Personal loans Q4 19 weight</t>
  </si>
  <si>
    <t>Credit card NPL</t>
  </si>
  <si>
    <t>Personal loans NPL</t>
  </si>
  <si>
    <t>Ccs Q4 19 weight</t>
  </si>
  <si>
    <t>3 parts of the equation</t>
  </si>
  <si>
    <t>Gross loan book</t>
  </si>
  <si>
    <t>Gross loan portfolio (SD calc)</t>
  </si>
  <si>
    <t>Implied NPL by product</t>
  </si>
  <si>
    <t>Credit cards loans (% of total Loan Book)</t>
  </si>
  <si>
    <t>Personal loans (% of total Loan Book)</t>
  </si>
  <si>
    <t>Credit card loans (USD Bn)</t>
  </si>
  <si>
    <t>Personal loans (USD Bn)</t>
  </si>
  <si>
    <t>Interest on deposits (% of CDI)</t>
  </si>
  <si>
    <t>Scenario 1</t>
  </si>
  <si>
    <t>Scenario 2</t>
  </si>
  <si>
    <t>Scenario 3</t>
  </si>
  <si>
    <t>vs Previous estimates</t>
  </si>
  <si>
    <t>Total loan book</t>
  </si>
  <si>
    <t>Loan Book</t>
  </si>
  <si>
    <t>Q2 22</t>
  </si>
  <si>
    <t>Q3 22</t>
  </si>
  <si>
    <t>Q4 22</t>
  </si>
  <si>
    <t>BS (net) - USD</t>
  </si>
  <si>
    <t>BS (net) - BRL</t>
  </si>
  <si>
    <t>BS (net) change - USD</t>
  </si>
  <si>
    <t>BS (net) change - BRL</t>
  </si>
  <si>
    <t>Q1 23</t>
  </si>
  <si>
    <t>Q2 23</t>
  </si>
  <si>
    <t>Q3 23</t>
  </si>
  <si>
    <t>Q4 23</t>
  </si>
  <si>
    <t>Growth (% in BRL)</t>
  </si>
  <si>
    <t>Consensus</t>
  </si>
  <si>
    <t>Consensus - USD</t>
  </si>
  <si>
    <t>Consensus - BRL</t>
  </si>
  <si>
    <t>NSR vs Consensus</t>
  </si>
  <si>
    <t>NSR Estimates (BRL mn)</t>
  </si>
  <si>
    <t>Consensus (BRL mn)</t>
  </si>
  <si>
    <t>Q2 22e</t>
  </si>
  <si>
    <t>Q3 22e</t>
  </si>
  <si>
    <t>Q4 22e</t>
  </si>
  <si>
    <t>Q1 23e</t>
  </si>
  <si>
    <t>Q2 23e</t>
  </si>
  <si>
    <t>Q3 23e</t>
  </si>
  <si>
    <t>Q4 23e</t>
  </si>
  <si>
    <t>Loans ending in the quarter</t>
  </si>
  <si>
    <t>Loans origination in the quarter</t>
  </si>
  <si>
    <t>of which, personal loans</t>
  </si>
  <si>
    <t>of which, credit cards</t>
  </si>
  <si>
    <t>of which, credit cards (%)</t>
  </si>
  <si>
    <t>of which, personal loans (%)</t>
  </si>
  <si>
    <t>Assumption for duration  (in months)</t>
  </si>
  <si>
    <t>Net increase</t>
  </si>
  <si>
    <t>Total Credit loss allowance expenses</t>
  </si>
  <si>
    <t>Expected credit loss expense</t>
  </si>
  <si>
    <t>Additions (% of loan origination)</t>
  </si>
  <si>
    <t>Reversals (% of Beg gross loan book)</t>
  </si>
  <si>
    <t>Provisions P&amp;L (NSR)</t>
  </si>
  <si>
    <t>Provisions P&amp;L (Actual)</t>
  </si>
  <si>
    <t>y/y loan portfolio growth</t>
  </si>
  <si>
    <t>Expected credit losses (% of loan portfolio)</t>
  </si>
  <si>
    <t>Interest on deposits</t>
  </si>
  <si>
    <t>Picpay*</t>
  </si>
  <si>
    <t>Banco Pan*</t>
  </si>
  <si>
    <t>Loans origination y/y growth</t>
  </si>
  <si>
    <t>Personal loan receivables</t>
  </si>
  <si>
    <t>ECL P&amp;L expenses</t>
  </si>
  <si>
    <t>ECL P&amp;L expenses (% of loan book)</t>
  </si>
  <si>
    <t>y/y Loan book growth</t>
  </si>
  <si>
    <t>In USD m</t>
  </si>
  <si>
    <t>USD</t>
  </si>
  <si>
    <t>Deposits/Active client</t>
  </si>
  <si>
    <t>Amount</t>
  </si>
  <si>
    <t>ss</t>
  </si>
  <si>
    <t>dd</t>
  </si>
  <si>
    <t>Days</t>
  </si>
  <si>
    <t>Tax on interest</t>
  </si>
  <si>
    <t>Mercado Libre</t>
  </si>
  <si>
    <t>Revs</t>
  </si>
  <si>
    <t>PagSeguro</t>
  </si>
  <si>
    <t>Pagbank funding cost</t>
  </si>
  <si>
    <t>Mercado Pago</t>
  </si>
  <si>
    <t>Post-tax</t>
  </si>
  <si>
    <t>as % net margin</t>
  </si>
  <si>
    <t>Deposit % CDI</t>
  </si>
  <si>
    <t>Saving</t>
  </si>
  <si>
    <t xml:space="preserve">WACC </t>
  </si>
  <si>
    <t xml:space="preserve">Interest income and gains (losses) </t>
  </si>
  <si>
    <t>Total costs (pre opex)</t>
  </si>
  <si>
    <t xml:space="preserve">Allowance as % </t>
  </si>
  <si>
    <t>WACC sensitivity</t>
  </si>
  <si>
    <t>Deposit remuneration</t>
  </si>
  <si>
    <t>Deposit yield as % CDI</t>
  </si>
  <si>
    <t>Deposit yield as  % revenue</t>
  </si>
  <si>
    <t>TP, USD</t>
  </si>
  <si>
    <t>Provision as % revenue</t>
  </si>
  <si>
    <t>Loans ending in the year</t>
  </si>
  <si>
    <t>Loans origination in the year</t>
  </si>
  <si>
    <t>ROE</t>
  </si>
  <si>
    <t>ROA</t>
  </si>
  <si>
    <t>Santander</t>
  </si>
  <si>
    <t>NIM</t>
  </si>
  <si>
    <t>Banco do Brasil</t>
  </si>
  <si>
    <t>Reasons for NU to trade at a premium</t>
  </si>
  <si>
    <t>1) Geographic expansion opp</t>
  </si>
  <si>
    <t>2) NIM expansion with lower funding costs possibility</t>
  </si>
  <si>
    <t>3) Fee income expansion through new services (implying some degree of diversification of fee income and lending ops)</t>
  </si>
  <si>
    <t>4) Not too sure on this, but looking at 2025 still appears to be in "early" stages for NU given Colombia and Mexico businesses maturation</t>
  </si>
  <si>
    <t>5) No physical agencies, big banks have been closing these at an increasing rate (In Brazil, there were 18k agencies in the end of 2021, 1k less than in 2020 and at 2007 levels  - pandemic accelerated the trend)</t>
  </si>
  <si>
    <t>higher risk, but looks slight odd? It seems correct from Itau's statements</t>
  </si>
  <si>
    <t>Gross profit = (Total revenue - interest expenses - provisions)/total revenue</t>
  </si>
  <si>
    <t>Implied net interest expense (as a % of CDI)</t>
  </si>
  <si>
    <t>Check: Average USD/BRL</t>
  </si>
  <si>
    <t>Period-end USD/BRL</t>
  </si>
  <si>
    <t>y/y growth</t>
  </si>
  <si>
    <t>Total Credit portfolio (Net)</t>
  </si>
  <si>
    <t>Credit card - old</t>
  </si>
  <si>
    <t>Personal loans - old</t>
  </si>
  <si>
    <t>Credit card - new</t>
  </si>
  <si>
    <t>Personal loans - new</t>
  </si>
  <si>
    <t>Gross margin (as % net loans)</t>
  </si>
  <si>
    <t>Interest bearing liabilities</t>
  </si>
  <si>
    <t>Gross profit after funding</t>
  </si>
  <si>
    <t xml:space="preserve"> - of which cc</t>
  </si>
  <si>
    <t>as % cc</t>
  </si>
  <si>
    <t>Margin on Interest bearing</t>
  </si>
  <si>
    <t>Loan portfolio (gross) - USD</t>
  </si>
  <si>
    <t>Loan portfolio (gross) - BRL</t>
  </si>
  <si>
    <t>Blended new</t>
  </si>
  <si>
    <t>Blended old</t>
  </si>
  <si>
    <t>Provisions - USD</t>
  </si>
  <si>
    <t>NEW</t>
  </si>
  <si>
    <t>OLD</t>
  </si>
  <si>
    <t>90 +</t>
  </si>
  <si>
    <t xml:space="preserve">15-90 </t>
  </si>
  <si>
    <t>Previous estimates (pre Q2 22)</t>
  </si>
  <si>
    <t xml:space="preserve">NEW vs OLD </t>
  </si>
  <si>
    <t>Loss of revenue as %</t>
  </si>
  <si>
    <t xml:space="preserve">Loss of revenue </t>
  </si>
  <si>
    <t>Prepaid Interchange fees as % revs</t>
  </si>
  <si>
    <t>New interchange fee</t>
  </si>
  <si>
    <t>Prepaid Interchange fees</t>
  </si>
  <si>
    <t>Total (12m), billion</t>
  </si>
  <si>
    <t>Processed volumes, billion</t>
  </si>
  <si>
    <t>Prepaid volumes processed (12m), billion</t>
  </si>
  <si>
    <t>Interchange - Apr 1 2023</t>
  </si>
  <si>
    <t>Rolling 12 months</t>
  </si>
  <si>
    <t>Cut to Interconnect fee</t>
  </si>
  <si>
    <t>Cut to revenue</t>
  </si>
  <si>
    <t>Pre-paid volumes processed</t>
  </si>
  <si>
    <t>Quarterly</t>
  </si>
  <si>
    <t>New revenue</t>
  </si>
  <si>
    <t>New prepaid revenue as %</t>
  </si>
  <si>
    <t>Implied Prepaid Interchange rate (OLD)</t>
  </si>
  <si>
    <t>Prepaid</t>
  </si>
  <si>
    <t>Prepaid interchange fee (bps)</t>
  </si>
  <si>
    <t>Prepaid (USD bn)</t>
  </si>
  <si>
    <t>Prepaid (%)</t>
  </si>
  <si>
    <t>Cut to gross profit</t>
  </si>
  <si>
    <t>Old</t>
  </si>
  <si>
    <t>New</t>
  </si>
  <si>
    <t>12% share of corporate checking accounts</t>
  </si>
  <si>
    <t>Bank a/c</t>
  </si>
  <si>
    <t>Personal loan yields</t>
  </si>
  <si>
    <t>per month</t>
  </si>
  <si>
    <t>annual</t>
  </si>
  <si>
    <t>Interest-earnings (USD m)</t>
  </si>
  <si>
    <t>Interest-earnings (BRL m)</t>
  </si>
  <si>
    <t>Adjusted net income</t>
  </si>
  <si>
    <t xml:space="preserve">Net income, adjusted </t>
  </si>
  <si>
    <t>Implied interest yield (total portfolio)</t>
  </si>
  <si>
    <t>Implied interest yield (interest bearing)</t>
  </si>
  <si>
    <t>Implied net interest expense (as NU discloses)</t>
  </si>
  <si>
    <t>Post Q3 22</t>
  </si>
  <si>
    <t xml:space="preserve"> (i) stage 1 include all receivables not classified in stages 2 and 3;</t>
  </si>
  <si>
    <t xml:space="preserve">All receivables are classified through stages, where: </t>
  </si>
  <si>
    <t>(ii) stage 2 is primarily related to all receivables more than 30 (thirty), but less than 90 (ninety), days in arrears, or with an increase in client's behavior risk score compared to the time of the origination; and</t>
  </si>
  <si>
    <t xml:space="preserve"> (iii) stage 3 when receivables are more than 90 (ninety) days in arrears, or there are indications that the financial asset will not be fully paid without a collateral or financial guarantee.</t>
  </si>
  <si>
    <t>Stage 1</t>
  </si>
  <si>
    <t>Stage 2</t>
  </si>
  <si>
    <t>Stage 3</t>
  </si>
  <si>
    <t>Gross</t>
  </si>
  <si>
    <t>as %</t>
  </si>
  <si>
    <t>Stage 2 (30-90)</t>
  </si>
  <si>
    <t>Stage 3 (&gt;90)</t>
  </si>
  <si>
    <t>Stage 2 provision as % total gross</t>
  </si>
  <si>
    <t>Stage 3 provision as % total gross</t>
  </si>
  <si>
    <t>Total 2 and 3 as %</t>
  </si>
  <si>
    <t>Credit assessment</t>
  </si>
  <si>
    <t>Charge offs</t>
  </si>
  <si>
    <t>Charge off per Q</t>
  </si>
  <si>
    <t>12m</t>
  </si>
  <si>
    <t>Underlying changes in Stage 3 (ex Charge off)</t>
  </si>
  <si>
    <t>Underlying charges in Stage 3 per Q (ex Charge off)</t>
  </si>
  <si>
    <t>Run-rate vs prior Q loan book</t>
  </si>
  <si>
    <t>as % total interchange</t>
  </si>
  <si>
    <t>Interchange fee regulation</t>
  </si>
  <si>
    <t>Previous estimates</t>
  </si>
  <si>
    <t>NU - in USD Millions</t>
  </si>
  <si>
    <t xml:space="preserve">Post SELIC </t>
  </si>
  <si>
    <t xml:space="preserve"> as % revenue</t>
  </si>
  <si>
    <t>Jan 27 chat</t>
  </si>
  <si>
    <t>Originations , delinquencies</t>
  </si>
  <si>
    <t>We would maintain pace of lending until delinquencies improve</t>
  </si>
  <si>
    <t>Early, 50-90 NPLs very slightly better for Q4…originate a little more, but not much more</t>
  </si>
  <si>
    <t>50-90 - Q4 tend to seasonally lower..as..13th salary</t>
  </si>
  <si>
    <t>pay some bills</t>
  </si>
  <si>
    <t>a lot of taxes come through in Q1</t>
  </si>
  <si>
    <t>90+ increased further</t>
  </si>
  <si>
    <t>50-90 needs to come down for 2/3 Qs before 90+ to come down</t>
  </si>
  <si>
    <t>Provisioning</t>
  </si>
  <si>
    <t>Continue to be mostly about growth</t>
  </si>
  <si>
    <t>CC portfolio</t>
  </si>
  <si>
    <t xml:space="preserve">Still growing </t>
  </si>
  <si>
    <t>CC</t>
  </si>
  <si>
    <t>hasn’t deviated much</t>
  </si>
  <si>
    <t>annualised loss for each portfolio</t>
  </si>
  <si>
    <t>Offered - family &amp; friends. Testing, App is running accordingly</t>
  </si>
  <si>
    <t>Q2 - will probably be expanded…to the whole customer base</t>
  </si>
  <si>
    <t>Maybe something in H2</t>
  </si>
  <si>
    <t>Will be very compelling as don’t have single 18% charge</t>
  </si>
  <si>
    <t>Not yet in payroll</t>
  </si>
  <si>
    <t>Less profitable…lower losses</t>
  </si>
  <si>
    <t>Ability to lend</t>
  </si>
  <si>
    <t>Loan to deposit ratio</t>
  </si>
  <si>
    <t>Q4 will see a lower cost of funding</t>
  </si>
  <si>
    <t>100% of customer base new funding in September</t>
  </si>
  <si>
    <t>Period of grace in Sept..</t>
  </si>
  <si>
    <t>Q4 everyone in for numeration scheme</t>
  </si>
  <si>
    <t>Hearing from analysts - down to 75-80% of CDI</t>
  </si>
  <si>
    <t>feasible</t>
  </si>
  <si>
    <t>Q3</t>
  </si>
  <si>
    <t>End of Sept</t>
  </si>
  <si>
    <t>91% of CFI</t>
  </si>
  <si>
    <t>ex SME</t>
  </si>
  <si>
    <t>may include SME..</t>
  </si>
  <si>
    <t>Consolidated basis…CSA termination</t>
  </si>
  <si>
    <t>CSA was still running</t>
  </si>
  <si>
    <t>BRL48m - vesting of share based comp.</t>
  </si>
  <si>
    <t>impact of BRL356m, cancellation impact</t>
  </si>
  <si>
    <t>NU formula</t>
  </si>
  <si>
    <t>Cost to serve still below &lt;$1</t>
  </si>
  <si>
    <t>ARPAC has grown marginally</t>
  </si>
  <si>
    <t>Customer growth… still onboard 1.5 per month in Brazil</t>
  </si>
  <si>
    <t>Q3 - no of money boxes 1.7m active boxes, one customer can have &gt;1 money box</t>
  </si>
  <si>
    <t>NU share price</t>
  </si>
  <si>
    <t>VCs</t>
  </si>
  <si>
    <t>90% of buyers are long only</t>
  </si>
  <si>
    <t>Adjustments to net income</t>
  </si>
  <si>
    <t xml:space="preserve">  of which on deposits</t>
  </si>
  <si>
    <t xml:space="preserve">  of which other</t>
  </si>
  <si>
    <t xml:space="preserve">  on deposits</t>
  </si>
  <si>
    <t xml:space="preserve">  on deposits as % CDI</t>
  </si>
  <si>
    <t>Reported funding cost</t>
  </si>
  <si>
    <t xml:space="preserve">Net interest income </t>
  </si>
  <si>
    <t xml:space="preserve">Gross profit </t>
  </si>
  <si>
    <t xml:space="preserve">Transactional expenses </t>
  </si>
  <si>
    <t>Deposits, USD</t>
  </si>
  <si>
    <t>Loan portfolio, BRL</t>
  </si>
  <si>
    <t>USDBRL quarter end</t>
  </si>
  <si>
    <t>BRL expansion in loans</t>
  </si>
  <si>
    <t>Stock expense/other</t>
  </si>
  <si>
    <t xml:space="preserve"> - of which stock comp</t>
  </si>
  <si>
    <t xml:space="preserve"> - other G&amp;A</t>
  </si>
  <si>
    <t>as % sales</t>
  </si>
  <si>
    <t>Prov</t>
  </si>
  <si>
    <t>FY 22 call</t>
  </si>
  <si>
    <t>Money box</t>
  </si>
  <si>
    <t>78% of CDI</t>
  </si>
  <si>
    <t>How much is seasonal…excess liquidity for customers due to 13th salary?</t>
  </si>
  <si>
    <t>Will remain at this sort of level in the coming quarters</t>
  </si>
  <si>
    <t>In Dec 22 pushed cost of funding down</t>
  </si>
  <si>
    <t>But haven't seen full impact yet…this is sustainable</t>
  </si>
  <si>
    <t>Big expansion in last 4 quarters</t>
  </si>
  <si>
    <t>Expect this to continue</t>
  </si>
  <si>
    <t>Credit portfolio will outpace deposits</t>
  </si>
  <si>
    <t>Loan to deposits to increase</t>
  </si>
  <si>
    <t>Lower cost of funding to help</t>
  </si>
  <si>
    <t>Don't need to reprice this</t>
  </si>
  <si>
    <t>Personal loans might outpace credit cards</t>
  </si>
  <si>
    <t>Personal loans should help NIM margins</t>
  </si>
  <si>
    <t>Cap on credit cards</t>
  </si>
  <si>
    <t>Lingering for over a decade in Brazil</t>
  </si>
  <si>
    <t>Product launches</t>
  </si>
  <si>
    <t>Auto insurance</t>
  </si>
  <si>
    <t>middle and upper income</t>
  </si>
  <si>
    <t>Scale money boxes</t>
  </si>
  <si>
    <t>Ultra violeta</t>
  </si>
  <si>
    <t>12m 2022</t>
  </si>
  <si>
    <t>9m 2022</t>
  </si>
  <si>
    <t>6m 2022</t>
  </si>
  <si>
    <t>3m 2022</t>
  </si>
  <si>
    <t>Capex</t>
  </si>
  <si>
    <t>as % opex</t>
  </si>
  <si>
    <t xml:space="preserve"> of which Stock compensation</t>
  </si>
  <si>
    <t xml:space="preserve"> of which one off termination</t>
  </si>
  <si>
    <t xml:space="preserve"> of which underlying</t>
  </si>
  <si>
    <t>Call with Jorg</t>
  </si>
  <si>
    <t>Q4 seasonality - how significant</t>
  </si>
  <si>
    <t>Understand how regulatory capital is shifting</t>
  </si>
  <si>
    <t>Other</t>
  </si>
  <si>
    <t>Fee / Comm income</t>
  </si>
  <si>
    <t>how going?</t>
  </si>
  <si>
    <t>numbers here? GMV, users etc</t>
  </si>
  <si>
    <t>Creditas relationship?</t>
  </si>
  <si>
    <t xml:space="preserve"> - of which credit cards</t>
  </si>
  <si>
    <t xml:space="preserve"> - of which other</t>
  </si>
  <si>
    <t>Implied interest yield credit cards</t>
  </si>
  <si>
    <t>Implied interest yield personal loans</t>
  </si>
  <si>
    <t>Active Personal loan customers</t>
  </si>
  <si>
    <t>Active Credit cards</t>
  </si>
  <si>
    <t>As % active</t>
  </si>
  <si>
    <t>Group</t>
  </si>
  <si>
    <t>as % total Personal loan book</t>
  </si>
  <si>
    <t>as % total Credit card book</t>
  </si>
  <si>
    <t>Colombian loan Portfolio (USD millions)</t>
  </si>
  <si>
    <t>Assumed % in Brazil</t>
  </si>
  <si>
    <t>Assumed % in Mexico</t>
  </si>
  <si>
    <t>Assumed % in Colombia</t>
  </si>
  <si>
    <t>Credit interchange</t>
  </si>
  <si>
    <t>Debit interchange</t>
  </si>
  <si>
    <t>Pre-paid</t>
  </si>
  <si>
    <t>Credit interchange fee (bps) - implied</t>
  </si>
  <si>
    <t>Loan Portfolio (USD millions) - net</t>
  </si>
  <si>
    <t>Loan Portfolio (USD millions) - gross</t>
  </si>
  <si>
    <t xml:space="preserve">Provisions (USD millions) </t>
  </si>
  <si>
    <t>as % gross</t>
  </si>
  <si>
    <t xml:space="preserve"> - of interchange</t>
  </si>
  <si>
    <t xml:space="preserve"> - of other</t>
  </si>
  <si>
    <t>Average Payroll/active client (BRL)</t>
  </si>
  <si>
    <t>% of active clients using payroll</t>
  </si>
  <si>
    <t># of active payroll</t>
  </si>
  <si>
    <t>Interest income – payroll</t>
  </si>
  <si>
    <t>of which, payroll</t>
  </si>
  <si>
    <t>Implied interest yield payroll</t>
  </si>
  <si>
    <t xml:space="preserve"> - of which payroll</t>
  </si>
  <si>
    <t>Originations, BRL million</t>
  </si>
  <si>
    <t>Payroll / other</t>
  </si>
  <si>
    <t>Other operating expenses</t>
  </si>
  <si>
    <t>Adds</t>
  </si>
  <si>
    <t>as $ deposits</t>
  </si>
  <si>
    <t>Equity Capital</t>
  </si>
  <si>
    <t>Financeira</t>
  </si>
  <si>
    <t>Pagamentos</t>
  </si>
  <si>
    <t>Reg Cap</t>
  </si>
  <si>
    <t>RWA</t>
  </si>
  <si>
    <t>Cap required</t>
  </si>
  <si>
    <t>Basel III Tier 1</t>
  </si>
  <si>
    <t>Capital buffer</t>
  </si>
  <si>
    <t>Ratio</t>
  </si>
  <si>
    <t>Max amount</t>
  </si>
  <si>
    <t>CURRENT</t>
  </si>
  <si>
    <t>How being phased in?</t>
  </si>
  <si>
    <t>New RWA</t>
  </si>
  <si>
    <t>Current ratio</t>
  </si>
  <si>
    <t>Reg capital (current)</t>
  </si>
  <si>
    <t>New cap req</t>
  </si>
  <si>
    <t>Extra capital needed</t>
  </si>
  <si>
    <t>What Basel Ratio targeting?</t>
  </si>
  <si>
    <t>10.5% or 14%?</t>
  </si>
  <si>
    <t>All 1 July</t>
  </si>
  <si>
    <t>Impact on ROE</t>
  </si>
  <si>
    <t>Reg changes on cash cards</t>
  </si>
  <si>
    <t>Push cash cards less, think TPV for cards will slow down?</t>
  </si>
  <si>
    <t>Where does capital come from?</t>
  </si>
  <si>
    <t>Deposits etc..post SVB</t>
  </si>
  <si>
    <t>Update on Q1</t>
  </si>
  <si>
    <t>Payroll lending..</t>
  </si>
  <si>
    <t>How much of payroll lending was retirees and covered by cap?</t>
  </si>
  <si>
    <t>Is cap now confirmed, 1.7% from 2.14%?</t>
  </si>
  <si>
    <t>Learning from SVB</t>
  </si>
  <si>
    <t>Born and raised in volatility, ALM always well maintained</t>
  </si>
  <si>
    <t>Understanding how social media, and bank runs</t>
  </si>
  <si>
    <t>PIX 24/7 relevant therefore</t>
  </si>
  <si>
    <t>important to monitor</t>
  </si>
  <si>
    <t>Through to Feb - asset quality</t>
  </si>
  <si>
    <t>Tail of 2 parts</t>
  </si>
  <si>
    <t>CC - life as usual…book navigated through cycles</t>
  </si>
  <si>
    <t>Personal - more restricitve in Q2 22. Improvements quarter after quarter, rates up, restricted credit</t>
  </si>
  <si>
    <t>Tenures are short, 5-6 months. Half of industry</t>
  </si>
  <si>
    <t>Better than expected</t>
  </si>
  <si>
    <t>Q4</t>
  </si>
  <si>
    <t>Q1</t>
  </si>
  <si>
    <t>seasonal positive</t>
  </si>
  <si>
    <t>seasonal weakness</t>
  </si>
  <si>
    <t>30-40 bps improvement on &gt;90 days. NU was 50 bps, based on personal loans</t>
  </si>
  <si>
    <t>15-90 usual up 80 bps..up to Feb, up close to this or slightly better</t>
  </si>
  <si>
    <t>Translation into growth?</t>
  </si>
  <si>
    <t>A little more agnostic on macro</t>
  </si>
  <si>
    <t>Story will be share gains, rather than pie gains</t>
  </si>
  <si>
    <t>First 2 months of the year</t>
  </si>
  <si>
    <t>BRL2 billion per month in Jan/Feb….average was BRL1.5 billion in 2022</t>
  </si>
  <si>
    <t>New cohorts behaving better</t>
  </si>
  <si>
    <t>cherry pick as other banks have retrenched</t>
  </si>
  <si>
    <t>macro somewhat unchanged</t>
  </si>
  <si>
    <t>TAM for payroll lending</t>
  </si>
  <si>
    <t>INSS/retirees</t>
  </si>
  <si>
    <t>40-45% of total payroll</t>
  </si>
  <si>
    <t>Public servants</t>
  </si>
  <si>
    <t>15-20%</t>
  </si>
  <si>
    <t>Two thirds of the market</t>
  </si>
  <si>
    <t>Credited for both but public servants only</t>
  </si>
  <si>
    <t>Gain share of wallet in the higher end of market</t>
  </si>
  <si>
    <t>Mostly good socio economic buckets</t>
  </si>
  <si>
    <t>All public payroll have caps</t>
  </si>
  <si>
    <t>INSS usually comes first</t>
  </si>
  <si>
    <t>launched</t>
  </si>
  <si>
    <t>FROM</t>
  </si>
  <si>
    <t>TO</t>
  </si>
  <si>
    <t>1.7% cap was proposed…10 biggest players inc Banco Brasil and Caixa - stopped originations</t>
  </si>
  <si>
    <t>product became unprofitable</t>
  </si>
  <si>
    <t>Last Thursday - new cap announced</t>
  </si>
  <si>
    <t>Lula had to interfere</t>
  </si>
  <si>
    <t>All caps negative…if not followed by reduction in funding cost BUT primary assumption is that originate loan broker, charges 15-18% of loan</t>
  </si>
  <si>
    <t>Public payroll</t>
  </si>
  <si>
    <t>Doing super well</t>
  </si>
  <si>
    <t>Assumed price would be most important factor..</t>
  </si>
  <si>
    <t>2 other key factors:</t>
  </si>
  <si>
    <t>cash availability…how fast disbursement comes…physical touch point needed elsewhere (3-5 days). Taking 120 seconds</t>
  </si>
  <si>
    <t>anonymity helps…$1.5 to $2.5 per month</t>
  </si>
  <si>
    <t>Last by Jan 25</t>
  </si>
  <si>
    <t>Today running &gt;20% of Basel Index</t>
  </si>
  <si>
    <t>Fully loaded 9.5-10% (i.e. when up and running)</t>
  </si>
  <si>
    <t>Cash sits in Holding company, and needs reallocating</t>
  </si>
  <si>
    <t>$2.5 billion of excess capital in Holding Co</t>
  </si>
  <si>
    <t>Capital sustainability</t>
  </si>
  <si>
    <t>When your ROE surpasses RWA growth</t>
  </si>
  <si>
    <t>By end of 2024</t>
  </si>
  <si>
    <t>No longer require extra capital</t>
  </si>
  <si>
    <t>No change to pre-paid or debit cards</t>
  </si>
  <si>
    <t>Continue to be an important entry point for clients</t>
  </si>
  <si>
    <t>Will happen when slow down net new adds</t>
  </si>
  <si>
    <t>1 to 1.5 million per month (adds)</t>
  </si>
  <si>
    <t>Purchase volume by cohort</t>
  </si>
  <si>
    <t>New cohorts x3 every 24 months</t>
  </si>
  <si>
    <t>Investments - discontinuing Eas Invest, focus on NU. Foster of cross sell</t>
  </si>
  <si>
    <t>Launching new products…pension, analysing this</t>
  </si>
  <si>
    <t>Partnerships…</t>
  </si>
  <si>
    <t>net</t>
  </si>
  <si>
    <t>=</t>
  </si>
  <si>
    <t>%</t>
  </si>
  <si>
    <t xml:space="preserve"> gross </t>
  </si>
  <si>
    <t xml:space="preserve">less </t>
  </si>
  <si>
    <t>provision</t>
  </si>
  <si>
    <t xml:space="preserve">provision </t>
  </si>
  <si>
    <t xml:space="preserve">% </t>
  </si>
  <si>
    <t>gross</t>
  </si>
  <si>
    <t>less</t>
  </si>
  <si>
    <t>Stock options/other</t>
  </si>
  <si>
    <t>P/E (adj)</t>
  </si>
  <si>
    <t>Net income (rep)</t>
  </si>
  <si>
    <t>Net income (adj) - after stock exp / other</t>
  </si>
  <si>
    <t>% adjusted margin</t>
  </si>
  <si>
    <t>Net income adj</t>
  </si>
  <si>
    <t>Total effective rate</t>
  </si>
  <si>
    <t>Net (rep)</t>
  </si>
  <si>
    <t>Net (adj)</t>
  </si>
  <si>
    <t xml:space="preserve"> - of which Brazil</t>
  </si>
  <si>
    <t>Other (Consol. Less Br)</t>
  </si>
  <si>
    <t>Non interest revenue</t>
  </si>
  <si>
    <t>Interest revenue</t>
  </si>
  <si>
    <t>Losses</t>
  </si>
  <si>
    <t>Net CC margin</t>
  </si>
  <si>
    <t>Net Payroll margin</t>
  </si>
  <si>
    <t>Net Personal loan margin</t>
  </si>
  <si>
    <t>Q1 23 call</t>
  </si>
  <si>
    <t>Tax forecasts?</t>
  </si>
  <si>
    <t>Loan to deposits</t>
  </si>
  <si>
    <t>Loan to deposit ratio…been going up, where to end up?</t>
  </si>
  <si>
    <t>Reported</t>
  </si>
  <si>
    <t>Adjusted</t>
  </si>
  <si>
    <t xml:space="preserve">   - as % securities</t>
  </si>
  <si>
    <t>Why securities dropped</t>
  </si>
  <si>
    <t>Share / equity issuance (vesting)</t>
  </si>
  <si>
    <t>Payroll lending in numbers ? From Q2..?</t>
  </si>
  <si>
    <t>Credit card caps</t>
  </si>
  <si>
    <t>BRL loans</t>
  </si>
  <si>
    <t>Interest bearing loans</t>
  </si>
  <si>
    <t>Interest bearing Credit card</t>
  </si>
  <si>
    <t>Non-interest bearing</t>
  </si>
  <si>
    <t>Interest bearing as % CC</t>
  </si>
  <si>
    <t>How thinking about growth in Mexico vs Brazil going forward?</t>
  </si>
  <si>
    <t>Any reg issues in Mexico as we've seen in Brazil?</t>
  </si>
  <si>
    <t>ROE of 30% on Payroll</t>
  </si>
  <si>
    <t>Walk through calc here</t>
  </si>
  <si>
    <t xml:space="preserve"> - Brazil</t>
  </si>
  <si>
    <t xml:space="preserve"> - Mexico</t>
  </si>
  <si>
    <t xml:space="preserve"> - Colombia</t>
  </si>
  <si>
    <t>Registered Adds</t>
  </si>
  <si>
    <t>Activity rate</t>
  </si>
  <si>
    <t>Subs flat in Mexico?</t>
  </si>
  <si>
    <t>What share of CC receivables from Mexico</t>
  </si>
  <si>
    <t>Are NuPay and Pix (consumer financing) part of the receivable book?</t>
  </si>
  <si>
    <t>Efficiency ratio</t>
  </si>
  <si>
    <t>NII + F&amp;C</t>
  </si>
  <si>
    <t>Costs (inc SBC)</t>
  </si>
  <si>
    <t>Mexico / Colombia / HQ</t>
  </si>
  <si>
    <t>Efficiency</t>
  </si>
  <si>
    <t>NII + F&amp;C - check Mexico contribution; strong in Q4 21…~10% today</t>
  </si>
  <si>
    <t>Makes sense running ahead of subs contribution?</t>
  </si>
  <si>
    <t>Interest bearing growing v quickly - is this driven by Mexico?</t>
  </si>
  <si>
    <t>What's a realistic target here</t>
  </si>
  <si>
    <t>What are incumbents traditionally at?</t>
  </si>
  <si>
    <t>What peers get to?</t>
  </si>
  <si>
    <t>BS (gross) - BRL</t>
  </si>
  <si>
    <t>Risk weighted assets are lower</t>
  </si>
  <si>
    <t>75% RWA</t>
  </si>
  <si>
    <t>50% RWA</t>
  </si>
  <si>
    <t>Denominator is smaller</t>
  </si>
  <si>
    <t>10.5% or 12% Basel</t>
  </si>
  <si>
    <t>Credit card business is different to Br</t>
  </si>
  <si>
    <t>Br is ~25%. Mexico is similar to US. Closer to 60%</t>
  </si>
  <si>
    <t>more WC than Br, higher ROE business</t>
  </si>
  <si>
    <t xml:space="preserve">financing tool, rather than payment tool </t>
  </si>
  <si>
    <t>Flattish QoQ subs</t>
  </si>
  <si>
    <t>Cuenta Nu launch</t>
  </si>
  <si>
    <t>Only said yes to 30% of CC requests</t>
  </si>
  <si>
    <t>Now will be able to say yes to 100%</t>
  </si>
  <si>
    <t>Opportunity to see maturation of cohorts</t>
  </si>
  <si>
    <t>Left cohorts to mature</t>
  </si>
  <si>
    <t>Now accelerate</t>
  </si>
  <si>
    <t>Improve underwriting models</t>
  </si>
  <si>
    <t>Costs</t>
  </si>
  <si>
    <t>Headcount up flattish…18 to 24 months</t>
  </si>
  <si>
    <t>Int income</t>
  </si>
  <si>
    <t>Revenue from purchasing receivables</t>
  </si>
  <si>
    <t>Other exp</t>
  </si>
  <si>
    <t>PIS / COFINS</t>
  </si>
  <si>
    <t>FX, currencies in other currencies…in USD and EUR, intercompany also</t>
  </si>
  <si>
    <t>as % revs</t>
  </si>
  <si>
    <t>Rising net income</t>
  </si>
  <si>
    <t>Mexico / Colombia / HQ as % Group</t>
  </si>
  <si>
    <t>Q&amp;A</t>
  </si>
  <si>
    <t>When can provisioning be a tailwind?</t>
  </si>
  <si>
    <t>Coverage ratio trend… 90+ stable at 213/214%</t>
  </si>
  <si>
    <t>Should delinquencies improve, could be a tailwind. Not forecasting</t>
  </si>
  <si>
    <t>Payroll launch, significant in H2?</t>
  </si>
  <si>
    <t>Lower risk</t>
  </si>
  <si>
    <t>Pricing effectively. Rates 30-40% below market</t>
  </si>
  <si>
    <t>Customers have 35% pen of this product</t>
  </si>
  <si>
    <t>Largest profit pool in financial services</t>
  </si>
  <si>
    <t>Launched ISS and portability in H2</t>
  </si>
  <si>
    <t>in a declining rate environment, this should help</t>
  </si>
  <si>
    <t>will lean into</t>
  </si>
  <si>
    <t>Don’t think payroll will move the needle in 2023, more in 2024 and beyond</t>
  </si>
  <si>
    <t>Focus on transactors not revolvers. Would like 100% of transactors</t>
  </si>
  <si>
    <t>High level of revolvers (7%) not desirable but better than market (16%)</t>
  </si>
  <si>
    <t>PIX financing</t>
  </si>
  <si>
    <t>Customers finance at low instalments at low rates</t>
  </si>
  <si>
    <t>Portfolio of longer dated lower delinquency portfolio…want to grow this</t>
  </si>
  <si>
    <t>40% of personal consumption</t>
  </si>
  <si>
    <t>20% of GDP in Brazil</t>
  </si>
  <si>
    <t>Changes to industry will have a relevant economic impact</t>
  </si>
  <si>
    <t>CCs / rate gap</t>
  </si>
  <si>
    <t>Earnings in Brazil</t>
  </si>
  <si>
    <t>Don't look just at figures to BCB… only full reg operations in Brazil, some are missing</t>
  </si>
  <si>
    <t>Profitable ops in Br, profitable at Hold Co due to $2.4 billion cash, losses in Mexico and Colombia</t>
  </si>
  <si>
    <t>Higher income</t>
  </si>
  <si>
    <t>Low and medium income v popular</t>
  </si>
  <si>
    <t>Higher income sector…is a priority for 2023/24…good amount of time looking into this. Looked around the world</t>
  </si>
  <si>
    <t>2 steps</t>
  </si>
  <si>
    <t>Customer acquisition</t>
  </si>
  <si>
    <t>Customer monetisation</t>
  </si>
  <si>
    <t>Have acquired &gt;BRL12,000 earners- have over 60% of Br being customers of Nu</t>
  </si>
  <si>
    <t>Deepen relationship, and increase share of wallet</t>
  </si>
  <si>
    <t>Nu has a similar subs break down, but share of wallet in high income is low</t>
  </si>
  <si>
    <t>17% - despite excess capital, despite losses in Mex and Col. Better than peers</t>
  </si>
  <si>
    <t>Give some back through price but likely keep some ROE</t>
  </si>
  <si>
    <t>AI</t>
  </si>
  <si>
    <t>Cost efficiency</t>
  </si>
  <si>
    <t>AML</t>
  </si>
  <si>
    <t>Consumer facing front also</t>
  </si>
  <si>
    <t>Smartphone as bank for consumers</t>
  </si>
  <si>
    <t>AI - put a bank, and a banker in back pocket</t>
  </si>
  <si>
    <t>Different credit card market…revolving is more important presumably?</t>
  </si>
  <si>
    <t xml:space="preserve">More borrowing, than transactors </t>
  </si>
  <si>
    <t>Some key differences with Brazil</t>
  </si>
  <si>
    <t>So higher interest bearing receivables</t>
  </si>
  <si>
    <t>Higher risk therefore</t>
  </si>
  <si>
    <t>Penetration of fin services much lower than in Brazil</t>
  </si>
  <si>
    <t>More of a financial inclusion play</t>
  </si>
  <si>
    <t>Pleased with traction since launch 3 years ago</t>
  </si>
  <si>
    <t>Cuenta Nu should be game changer</t>
  </si>
  <si>
    <t>Help to gather data and approve customers</t>
  </si>
  <si>
    <t>More unbanked than banked story</t>
  </si>
  <si>
    <t>Challenge as need to underwrite those who have never had credit. Assess as they go, a little stop start perhaps</t>
  </si>
  <si>
    <t>88% of pops not underwritten. 12% credit card pops</t>
  </si>
  <si>
    <t>ROEs of ~30% are still being targeted</t>
  </si>
  <si>
    <t>Holding Co</t>
  </si>
  <si>
    <t>Positive net income here - slightly better results out of Treasury</t>
  </si>
  <si>
    <t>Fairly conservative policy, investing in safe and liquid assets</t>
  </si>
  <si>
    <t>Regulation</t>
  </si>
  <si>
    <t>Resolution 200, from Q1 2022. Harmonised for payment institutions and financial instiutions</t>
  </si>
  <si>
    <t>July 23 - operating as such</t>
  </si>
  <si>
    <t>Fin</t>
  </si>
  <si>
    <t>Basel ratio &gt;20%</t>
  </si>
  <si>
    <t>Whole conglom</t>
  </si>
  <si>
    <t>Brazil would be &gt;12%</t>
  </si>
  <si>
    <t>Brazil would need to be &gt;6.5%</t>
  </si>
  <si>
    <t>Captial in Br</t>
  </si>
  <si>
    <t>Well ahead of cap needs, without mentioning the $2.4 billion in Hold Co</t>
  </si>
  <si>
    <t>Capital is $2 billion, min reg is $1.2 billion</t>
  </si>
  <si>
    <t>Br operations continue to be profitable, generating relevant earnings</t>
  </si>
  <si>
    <t>What to do with BS</t>
  </si>
  <si>
    <t>Hold Co - no plans to distribute cash</t>
  </si>
  <si>
    <t>Earnings will be used to reinvest</t>
  </si>
  <si>
    <t>Could do distros from Br to Hold Co</t>
  </si>
  <si>
    <t>Credit card limits</t>
  </si>
  <si>
    <t>Start conservative, "low and grow strategy", particularly for low/mid cohorts</t>
  </si>
  <si>
    <t>2021/22</t>
  </si>
  <si>
    <t>Strong covid recovery</t>
  </si>
  <si>
    <t>over the last 6-12 months, consumer credit has eased back which includes credit cards</t>
  </si>
  <si>
    <t>NU doing better, gaining 40-50bps share per Q, but would expect this to continue</t>
  </si>
  <si>
    <t>Broader Br credit environment</t>
  </si>
  <si>
    <t>PIX</t>
  </si>
  <si>
    <t>No impact on card volume</t>
  </si>
  <si>
    <t>Primarily cannibalising cash, some early signs of debit and pre-paid</t>
  </si>
  <si>
    <t>rather PIX, financial inclusion, and coupled with credit cards</t>
  </si>
  <si>
    <t>Similar to UPI in India</t>
  </si>
  <si>
    <t>This has helped and been a tailwind</t>
  </si>
  <si>
    <t xml:space="preserve"> as % originations</t>
  </si>
  <si>
    <t>ECL split by</t>
  </si>
  <si>
    <t xml:space="preserve"> - Personal loans</t>
  </si>
  <si>
    <t xml:space="preserve"> - Credit cards</t>
  </si>
  <si>
    <t xml:space="preserve"> as % adj. interest income</t>
  </si>
  <si>
    <t>Implied Expected credit losses (gross loan book)</t>
  </si>
  <si>
    <t>Rates</t>
  </si>
  <si>
    <t>Blended CC average</t>
  </si>
  <si>
    <t>Revolving analysis</t>
  </si>
  <si>
    <t>Nu IR catch up (Aug 31st)</t>
  </si>
  <si>
    <t>Revolving cc's</t>
  </si>
  <si>
    <t>Instalment - check this includes PIX Parcelado?</t>
  </si>
  <si>
    <t>What is take up here?</t>
  </si>
  <si>
    <t>Concur this is equivalent to debit in $ gross terms</t>
  </si>
  <si>
    <t>Per month</t>
  </si>
  <si>
    <t>Maths on ROE of payroll</t>
  </si>
  <si>
    <t>How to think about credit loss provisions</t>
  </si>
  <si>
    <t>Direction of travel on loan book</t>
  </si>
  <si>
    <t>Originations up to BRL7.3 billion on Personal loans</t>
  </si>
  <si>
    <t>Personal loans in BRLm</t>
  </si>
  <si>
    <t>Personal loans in USDm</t>
  </si>
  <si>
    <t>Sequential increase all coming from credit cards</t>
  </si>
  <si>
    <t>Personal loan component small, despite rising originations</t>
  </si>
  <si>
    <t>Implied rate booked in Q2?</t>
  </si>
  <si>
    <t>Impact if 100% cap</t>
  </si>
  <si>
    <t>Impact on issuance of cards, volumes</t>
  </si>
  <si>
    <t>How do rates compare to cc - future direction of industry with revolving caps?</t>
  </si>
  <si>
    <t>Competition, UALA, Rappi, Pago</t>
  </si>
  <si>
    <t>Subs growth ok, not super rapid</t>
  </si>
  <si>
    <t>ITR also from outside</t>
  </si>
  <si>
    <t>Acknowledge govt and regulator to relevance and product</t>
  </si>
  <si>
    <t>Don't appreciate the cap - 100%. This is the UK model, no more than principal</t>
  </si>
  <si>
    <t>Self regulation with proposed alternatives…90 days after approval of Law</t>
  </si>
  <si>
    <t>Would be negative 1st derivative…would curb growth of product</t>
  </si>
  <si>
    <t>Options</t>
  </si>
  <si>
    <t>40% of cards are multple instalments…with no interest</t>
  </si>
  <si>
    <t>higher rates, lower cost of funding (retail). Compare to Mexico. Unit economics are lower than in Mexico</t>
  </si>
  <si>
    <t>PIX financing - much lower yields, 4-6% vs &gt;10% in revolving</t>
  </si>
  <si>
    <t>PIX take up</t>
  </si>
  <si>
    <t>Was 8% a while ago….50% of this delta came from PIX financing</t>
  </si>
  <si>
    <t>Rest is other features, purchase financing</t>
  </si>
  <si>
    <t>In Brazil, after a number of days obliged to offer users in revolving an alternative with lower rates (with upfront payment)</t>
  </si>
  <si>
    <t xml:space="preserve">PIX </t>
  </si>
  <si>
    <t>More like a working capital product, wrapped in CC experience. Only can use if have a credit cards, as consumes credit card limit</t>
  </si>
  <si>
    <t>If transfer, can use credit card for transfers</t>
  </si>
  <si>
    <t>tickets are much much lower, BRL2000 for personal loans, &lt;BRL100 for PIX</t>
  </si>
  <si>
    <t>duration of 1-2 months for PIX, 6-7 for personal loans</t>
  </si>
  <si>
    <t>losses for PIX are lower</t>
  </si>
  <si>
    <t>unit economics closer to personal</t>
  </si>
  <si>
    <t>use cases - can use in-store for P2M but also used for P2P</t>
  </si>
  <si>
    <t>pay barber p2p/p2m blend</t>
  </si>
  <si>
    <t>more regular BNPL product</t>
  </si>
  <si>
    <t>E-Comm mostly…might add to POS. Focus on adding most relevant E-Comm</t>
  </si>
  <si>
    <t>ifood, Uber also</t>
  </si>
  <si>
    <t>saving fees and boosting convergence</t>
  </si>
  <si>
    <t>(for all credit card holders)</t>
  </si>
  <si>
    <t>(need to have agreement with counterpart)</t>
  </si>
  <si>
    <t>can be a checkout solution</t>
  </si>
  <si>
    <t>tokenised</t>
  </si>
  <si>
    <t>uber/ifood 2 largest by volume</t>
  </si>
  <si>
    <t>This or next week</t>
  </si>
  <si>
    <t>NU volumes strong</t>
  </si>
  <si>
    <t>A number of VCs - selling here</t>
  </si>
  <si>
    <t>When vols increase, looks like sellers. Sequoia, kazak</t>
  </si>
  <si>
    <t>2-3 years need to return funds, notably after results also. One board member of Sequoia, can only trade in 15 days after results</t>
  </si>
  <si>
    <t>Distributions…positions transferred into Evergeen fund</t>
  </si>
  <si>
    <t>Coming back into this vehicle</t>
  </si>
  <si>
    <t>Macro</t>
  </si>
  <si>
    <t>Macro environment has not shown signs of improvement</t>
  </si>
  <si>
    <t>Inflation down, rates down…GDP accelerating</t>
  </si>
  <si>
    <t>BUT, debt service numbers have not improved…haven't seen this yet in NU numbers or BCB</t>
  </si>
  <si>
    <t>For NU</t>
  </si>
  <si>
    <t>Cohorts for PLs behave better than expected, so ability to grow in this product</t>
  </si>
  <si>
    <t>Very far from fair show</t>
  </si>
  <si>
    <t xml:space="preserve">40-45% of PLs outstanding balance in system taken by NU clients elsewhere. Just 5% share today </t>
  </si>
  <si>
    <t>Only 10% of consumers using PLs</t>
  </si>
  <si>
    <t>Growth and risk</t>
  </si>
  <si>
    <t>Risk part is improving, so reversing part of this</t>
  </si>
  <si>
    <t>Risk portion includes in-model adjustments</t>
  </si>
  <si>
    <t>This is going up</t>
  </si>
  <si>
    <t>Client mix, product mix evolving</t>
  </si>
  <si>
    <t>Add new clients into the product</t>
  </si>
  <si>
    <t>Underwriting</t>
  </si>
  <si>
    <t>Assume future worse than the past</t>
  </si>
  <si>
    <t>Effective losses might double, NPV can be positive</t>
  </si>
  <si>
    <t>Revolving in Brazil</t>
  </si>
  <si>
    <t>Yield (per Q)</t>
  </si>
  <si>
    <t>Instalment with interest</t>
  </si>
  <si>
    <t>Net tax</t>
  </si>
  <si>
    <t>Mexico - 70% yield interest, Colombia and the US/UK…compares to 25% in Brazil</t>
  </si>
  <si>
    <t>Capex / D&amp;A</t>
  </si>
  <si>
    <t>OpFCF / EBIT</t>
  </si>
  <si>
    <t>Interest</t>
  </si>
  <si>
    <t>Net income / EFCF</t>
  </si>
  <si>
    <t>Debt</t>
  </si>
  <si>
    <t>Net debt to EBITDA</t>
  </si>
  <si>
    <t>CoF</t>
  </si>
  <si>
    <t>Tax @ 34%</t>
  </si>
  <si>
    <t>EV/EBITDA</t>
  </si>
  <si>
    <t>Today</t>
  </si>
  <si>
    <t>Lever up</t>
  </si>
  <si>
    <t>Multiple to EFCF / PE</t>
  </si>
  <si>
    <t>Dividend</t>
  </si>
  <si>
    <t>Shareholders</t>
  </si>
  <si>
    <t>Instalments as % CC</t>
  </si>
  <si>
    <t>PIX as % 12m growth</t>
  </si>
  <si>
    <t>Instalments component</t>
  </si>
  <si>
    <t>Growth from PIX</t>
  </si>
  <si>
    <t>CC receivables</t>
  </si>
  <si>
    <t>Total Group</t>
  </si>
  <si>
    <t>Brazil (individuals only)</t>
  </si>
  <si>
    <t>Credit card receivables  (Brazil, individuals)</t>
  </si>
  <si>
    <t>Interest income Credit cards (Group)</t>
  </si>
  <si>
    <t>Assumed interest income for Brazil (est)</t>
  </si>
  <si>
    <t>Split of Brazil</t>
  </si>
  <si>
    <t>Interest free</t>
  </si>
  <si>
    <t>NU Q2 22</t>
  </si>
  <si>
    <t>NU Q2 23</t>
  </si>
  <si>
    <t>Industry Q2 22</t>
  </si>
  <si>
    <t>Industry Q2 23</t>
  </si>
  <si>
    <t>Instalments NU</t>
  </si>
  <si>
    <t>Revolving NU</t>
  </si>
  <si>
    <t>Instalments Industry</t>
  </si>
  <si>
    <t>Revolving Industry</t>
  </si>
  <si>
    <t>Interchange (credit cards only)</t>
  </si>
  <si>
    <t>Interest expenses</t>
  </si>
  <si>
    <t>OpEx</t>
  </si>
  <si>
    <t>Transaction costs</t>
  </si>
  <si>
    <t>Revenue less interest expenses</t>
  </si>
  <si>
    <t>Other (including interest on securities)</t>
  </si>
  <si>
    <t>Revenue, BRL million</t>
  </si>
  <si>
    <t>ECLs</t>
  </si>
  <si>
    <t>Deposits not lend out</t>
  </si>
  <si>
    <t>Not loaned</t>
  </si>
  <si>
    <t>Revenue less expenses, less ECLs</t>
  </si>
  <si>
    <t>NU interest bearing</t>
  </si>
  <si>
    <t>US/UK</t>
  </si>
  <si>
    <t>Mexico/Col</t>
  </si>
  <si>
    <t>Personal loan</t>
  </si>
  <si>
    <t>Top line</t>
  </si>
  <si>
    <t>PAGS</t>
  </si>
  <si>
    <t>STNE</t>
  </si>
  <si>
    <t>MELI</t>
  </si>
  <si>
    <t>ADYEN</t>
  </si>
  <si>
    <t xml:space="preserve">DLO </t>
  </si>
  <si>
    <t>WLN</t>
  </si>
  <si>
    <t>NEXI</t>
  </si>
  <si>
    <t>Month 1 (13.5%)</t>
  </si>
  <si>
    <t>Months 2-6 (9%)</t>
  </si>
  <si>
    <t>Revolving loan</t>
  </si>
  <si>
    <t>Cap</t>
  </si>
  <si>
    <t xml:space="preserve">Late fees </t>
  </si>
  <si>
    <t>Market share</t>
  </si>
  <si>
    <t>Chat with NU</t>
  </si>
  <si>
    <t>Instalments in general too much</t>
  </si>
  <si>
    <t>Prefer no caps</t>
  </si>
  <si>
    <t>Customers will be limited</t>
  </si>
  <si>
    <t>August stock price</t>
  </si>
  <si>
    <t>Supply imbalance…Sequoia distributing shares to LPs</t>
  </si>
  <si>
    <t>9% of total to 5%</t>
  </si>
  <si>
    <t>Evergreen</t>
  </si>
  <si>
    <t>Equities in general</t>
  </si>
  <si>
    <t>UK Cap</t>
  </si>
  <si>
    <t>Less of a hot topic</t>
  </si>
  <si>
    <t>Scaling lending</t>
  </si>
  <si>
    <t>Secured lending</t>
  </si>
  <si>
    <t>Very disruptive</t>
  </si>
  <si>
    <t>Fully digital</t>
  </si>
  <si>
    <t>Launching INSS - pensions, a lot of tractions</t>
  </si>
  <si>
    <t>Not yet launched portability…move from Bank x to NU…good once rates come down</t>
  </si>
  <si>
    <t>Break down the portfolio?</t>
  </si>
  <si>
    <t>End 2024</t>
  </si>
  <si>
    <t>Rolling somewhat slowly</t>
  </si>
  <si>
    <t>Other products</t>
  </si>
  <si>
    <t xml:space="preserve">Q3 originations </t>
  </si>
  <si>
    <t>So far, as of mid quarter</t>
  </si>
  <si>
    <t>1.7-1.9% per month</t>
  </si>
  <si>
    <t>ann &lt;3%</t>
  </si>
  <si>
    <t>funding cost - CDI</t>
  </si>
  <si>
    <t>100% funded with deposits</t>
  </si>
  <si>
    <t>Pace of growth</t>
  </si>
  <si>
    <t>Neutral</t>
  </si>
  <si>
    <t>Tier 1 Capital</t>
  </si>
  <si>
    <t>Tier 2 Capital</t>
  </si>
  <si>
    <t>Total Reg Capital</t>
  </si>
  <si>
    <t>Operational</t>
  </si>
  <si>
    <t>Common equity</t>
  </si>
  <si>
    <t>Additional</t>
  </si>
  <si>
    <t>Min Capital</t>
  </si>
  <si>
    <t>Basel</t>
  </si>
  <si>
    <t>Excess Capital</t>
  </si>
  <si>
    <t>Adj Equity</t>
  </si>
  <si>
    <t>Capital ratio</t>
  </si>
  <si>
    <t>Reg Capital</t>
  </si>
  <si>
    <t>Min ration as Cat 4 SOFIPO</t>
  </si>
  <si>
    <t xml:space="preserve">Assets </t>
  </si>
  <si>
    <t>NU Capital ratio</t>
  </si>
  <si>
    <t>Loan</t>
  </si>
  <si>
    <t>Repayment</t>
  </si>
  <si>
    <t>Interest rate</t>
  </si>
  <si>
    <t>CC FX neutral</t>
  </si>
  <si>
    <t>Total CC and lending - up 9% sequentially</t>
  </si>
  <si>
    <t>CC up 50-60 bps of market share, with CC market down sequentially</t>
  </si>
  <si>
    <t>Continue to gain share</t>
  </si>
  <si>
    <t>Q3 23 performance</t>
  </si>
  <si>
    <t>Accounting change - Q3 23: PV of future flows, cost $150-200m in CC book</t>
  </si>
  <si>
    <t>7-9% of CC</t>
  </si>
  <si>
    <t>Payroll - any metric on product</t>
  </si>
  <si>
    <t>Portability just launched</t>
  </si>
  <si>
    <t>BRL650 billion of credit book</t>
  </si>
  <si>
    <t>NPS for secured lending of 78 vs 44 category average</t>
  </si>
  <si>
    <t>Customers are 40% of market payroll book</t>
  </si>
  <si>
    <t>Q3 23 $300m of total originations… &lt;4% of total</t>
  </si>
  <si>
    <t>Direct to consumer</t>
  </si>
  <si>
    <t>How feeling about credit growth from here?</t>
  </si>
  <si>
    <t>Don’t guide on NPLs or otherwise</t>
  </si>
  <si>
    <t>Asset quality is net result of 1/ Older cohorts in the past maturing, with lower delinquency, 2/ New cohorts in early life cycle</t>
  </si>
  <si>
    <t>Comfortable growing going forward</t>
  </si>
  <si>
    <t>Very excited, 11% CC penetration</t>
  </si>
  <si>
    <t>Never straight line…accelerate, decelerate as include new models/data products etc</t>
  </si>
  <si>
    <t>Past 2 months, increasing models/data - consolidating a little</t>
  </si>
  <si>
    <t>Slight slowdown in CC growth</t>
  </si>
  <si>
    <t>let's invest more</t>
  </si>
  <si>
    <t>Nu Conta</t>
  </si>
  <si>
    <t>Very happy with debit product</t>
  </si>
  <si>
    <t>$150m of deposits within a couple of weeks</t>
  </si>
  <si>
    <t>Increased yield on account by doubling down</t>
  </si>
  <si>
    <t>Won't breakeven in Mexico next year</t>
  </si>
  <si>
    <t>Loans?</t>
  </si>
  <si>
    <t>FX impact - 4% up, constant FX up 8-9% sequentially</t>
  </si>
  <si>
    <t>Originations</t>
  </si>
  <si>
    <t>$1.5 billion…originations…loan book plus $600m</t>
  </si>
  <si>
    <t>Personal loans only</t>
  </si>
  <si>
    <t>Interest expense up more than exp</t>
  </si>
  <si>
    <t>Bilateral finances and syndicated loans in Mexico and Colombia</t>
  </si>
  <si>
    <t>Brazil deposits broken out</t>
  </si>
  <si>
    <t>Growth of deposits</t>
  </si>
  <si>
    <t>Other jump - Mex and Col</t>
  </si>
  <si>
    <t>High income segment?</t>
  </si>
  <si>
    <t>How offer without personal manager</t>
  </si>
  <si>
    <t>1/ Acquisition, 2/ Monetisation</t>
  </si>
  <si>
    <t>Acquisition - 60% of segment as customers</t>
  </si>
  <si>
    <t>Leading NPS in the market</t>
  </si>
  <si>
    <t>Monetisation - early days</t>
  </si>
  <si>
    <t>Higher delinquency with higher margins</t>
  </si>
  <si>
    <t>One additional way to enhance product</t>
  </si>
  <si>
    <t>Accounting change on CC balance</t>
  </si>
  <si>
    <t>Instalment credit card product decelerated…but perhaps grew actually</t>
  </si>
  <si>
    <t>Receivables / payables based on PV</t>
  </si>
  <si>
    <t>Receivabes instalments - see the change here</t>
  </si>
  <si>
    <t>Liability - payables to network</t>
  </si>
  <si>
    <t>1/</t>
  </si>
  <si>
    <t>2/</t>
  </si>
  <si>
    <t>Finance portion of CC</t>
  </si>
  <si>
    <t>Up due to PIX/boleto financing</t>
  </si>
  <si>
    <t>$150-200m</t>
  </si>
  <si>
    <t>Stage 3 credit cards up</t>
  </si>
  <si>
    <t>Vassa ratio halved</t>
  </si>
  <si>
    <t>More capital to Brazil…or enough profitable in Brazil</t>
  </si>
  <si>
    <t>Beyond financial services?</t>
  </si>
  <si>
    <t>Credit card regulation</t>
  </si>
  <si>
    <t>Ongoing</t>
  </si>
  <si>
    <t>Help with an ambitious overhaul of credit cards in Brazil…working on more balanced product</t>
  </si>
  <si>
    <t>In 2022 BCB Resolution 200 - harmonised Payment/Finance; Section 32 of Fin statements, gradual implementation</t>
  </si>
  <si>
    <t>starts at 6.75% , 8.75% in 2024, 10.5% in 2025</t>
  </si>
  <si>
    <t>Brazil is at 11%, min is 6.75% - so have relevant buffer</t>
  </si>
  <si>
    <t>$2.4 billion with excess liquidity at Hold Co</t>
  </si>
  <si>
    <t>Unclear whether need to add capital to Brazil</t>
  </si>
  <si>
    <t>Existing plans fully funded/capitalised</t>
  </si>
  <si>
    <t>Note 13 Fin statements etc</t>
  </si>
  <si>
    <t>Stage 3 tends to correlate with 90+ .. As write off CC loans in Br at 360 days…enter 90+ accumulate for months and coverage ratio increases</t>
  </si>
  <si>
    <t>Interchange is 75% of fees, don’t see other fees growing despite other platforms</t>
  </si>
  <si>
    <t>Going down credit quality ladder</t>
  </si>
  <si>
    <t>Gone up again</t>
  </si>
  <si>
    <t>Primary banking relationship</t>
  </si>
  <si>
    <t>Loan book USD</t>
  </si>
  <si>
    <t>Loan book BRL</t>
  </si>
  <si>
    <t>Personal loan originations</t>
  </si>
  <si>
    <t>CDI (average)</t>
  </si>
  <si>
    <t>Post Q3 2023</t>
  </si>
  <si>
    <t>Q1 24E</t>
  </si>
  <si>
    <t>Q2 24E</t>
  </si>
  <si>
    <t>Q3 24E</t>
  </si>
  <si>
    <t>Q4 24E</t>
  </si>
  <si>
    <t>6.1% for personal loans, 4-6% for PIX, av closer to 6%</t>
  </si>
  <si>
    <t>Loan book expansion</t>
  </si>
  <si>
    <t>BRL m</t>
  </si>
  <si>
    <t xml:space="preserve">Previous estimates </t>
  </si>
  <si>
    <t>Accounting change on CC</t>
  </si>
  <si>
    <t>Capital Requirements</t>
  </si>
  <si>
    <t>NEW (JULY 2023) - Nu as TYPE 3 Prudential Conglomerate</t>
  </si>
  <si>
    <t>Regulatory Capital</t>
  </si>
  <si>
    <t>Payment services</t>
  </si>
  <si>
    <t>Total RWA</t>
  </si>
  <si>
    <t>July '23</t>
  </si>
  <si>
    <t>End-24</t>
  </si>
  <si>
    <t>End-25</t>
  </si>
  <si>
    <t>Phase-in</t>
  </si>
  <si>
    <t>Buffer</t>
  </si>
  <si>
    <t>Min Capital (on today's RWA)</t>
  </si>
  <si>
    <t>Tier 1 ratio</t>
  </si>
  <si>
    <t>Tier I</t>
  </si>
  <si>
    <t>Tier II</t>
  </si>
  <si>
    <t>CET 1</t>
  </si>
  <si>
    <t>CAR</t>
  </si>
  <si>
    <t>as % loan book</t>
  </si>
  <si>
    <t>Q3 23 follow (Nov 2023)</t>
  </si>
  <si>
    <t>Reg Capital Q3 23</t>
  </si>
  <si>
    <t>Regulatory capital</t>
  </si>
  <si>
    <t>AT1s</t>
  </si>
  <si>
    <t>Additional Tier 1 bonds</t>
  </si>
  <si>
    <t>Wiped out in UBS takeover of CS</t>
  </si>
  <si>
    <t>$2.5 billion at Hold Co level</t>
  </si>
  <si>
    <t>Additional Tier 1</t>
  </si>
  <si>
    <t>Additional (AT1)</t>
  </si>
  <si>
    <t>Common equity (CET)</t>
  </si>
  <si>
    <t>Q2</t>
  </si>
  <si>
    <t>expansion</t>
  </si>
  <si>
    <t>flattish expansion despite rising originations?</t>
  </si>
  <si>
    <t>where is this today… in the future?</t>
  </si>
  <si>
    <t>USD weakness</t>
  </si>
  <si>
    <t>Customers 40% of payroll…4% so far</t>
  </si>
  <si>
    <t>Update on PIX Parcelados</t>
  </si>
  <si>
    <t>Does it ever cannibalise CC?</t>
  </si>
  <si>
    <t>FGTS - Aug 23</t>
  </si>
  <si>
    <t>ISS - Oct 23</t>
  </si>
  <si>
    <t>CRP Consignado - Apr 23</t>
  </si>
  <si>
    <t xml:space="preserve">BRL300m of originations…so classed under </t>
  </si>
  <si>
    <t>underlying</t>
  </si>
  <si>
    <t>payroll (consignado)</t>
  </si>
  <si>
    <t>Interest bearing</t>
  </si>
  <si>
    <t>Focus on Cuenta</t>
  </si>
  <si>
    <t>Trends will be a little volatile</t>
  </si>
  <si>
    <t>Mexico has been flattish in last few quarters. Col also</t>
  </si>
  <si>
    <t>Brazil expanded in-line with prior quarters</t>
  </si>
  <si>
    <t>Slow but steady…more a 2024 story</t>
  </si>
  <si>
    <t>By end of 2024 more relevance</t>
  </si>
  <si>
    <t>CRP</t>
  </si>
  <si>
    <t>&gt;10% of Brazil</t>
  </si>
  <si>
    <t>40-60%</t>
  </si>
  <si>
    <t>INSS</t>
  </si>
  <si>
    <t>Total payroll in Brazil</t>
  </si>
  <si>
    <t>FGTS</t>
  </si>
  <si>
    <t>within the rest of the bucket</t>
  </si>
  <si>
    <t>Yields</t>
  </si>
  <si>
    <t>6.8% in Q3</t>
  </si>
  <si>
    <t>1/ Yes going up</t>
  </si>
  <si>
    <t>3/ extending the eligible base</t>
  </si>
  <si>
    <t>2/ removed 2/3 x loan discounts</t>
  </si>
  <si>
    <t>part of the macro outlook</t>
  </si>
  <si>
    <t>price elasticity</t>
  </si>
  <si>
    <t>Risk adjusted SIMs should continue to go up</t>
  </si>
  <si>
    <t>Personal originations up again in October…Q4 positive seasonality</t>
  </si>
  <si>
    <t>lower delinquencies in Q4</t>
  </si>
  <si>
    <t>No capital raise envisioned, risk adjusted NIM assumed to be going up</t>
  </si>
  <si>
    <t>Rates getting looser</t>
  </si>
  <si>
    <t>Brazil already profitable</t>
  </si>
  <si>
    <t>1/ Capitalise on PIX</t>
  </si>
  <si>
    <t>2/ 25% transactions on NU</t>
  </si>
  <si>
    <t>$15 and 2 month duration</t>
  </si>
  <si>
    <t>Need a low cost to serve</t>
  </si>
  <si>
    <t>Capitalise on best in class on cards</t>
  </si>
  <si>
    <t>Consolidated usage onto the credit card bill</t>
  </si>
  <si>
    <t>Cannibalisation?</t>
  </si>
  <si>
    <t>maybe debit</t>
  </si>
  <si>
    <t>guitar…20% discount on parcelados</t>
  </si>
  <si>
    <t>2% monthly…can be 3-6%</t>
  </si>
  <si>
    <t>1.6%, industry at 1.85%</t>
  </si>
  <si>
    <t xml:space="preserve">$200m sold </t>
  </si>
  <si>
    <t>DST…still have 7%</t>
  </si>
  <si>
    <t>9m 2023</t>
  </si>
  <si>
    <t>6m 2023</t>
  </si>
  <si>
    <t>3m 2023</t>
  </si>
  <si>
    <t>New Stage 3 as % Gross (ex Charge off)</t>
  </si>
  <si>
    <t xml:space="preserve">Change in Stage 3 (per Q) </t>
  </si>
  <si>
    <t>Subs, m</t>
  </si>
  <si>
    <t>Personal</t>
  </si>
  <si>
    <t>Group gross</t>
  </si>
  <si>
    <t>Notes</t>
  </si>
  <si>
    <t xml:space="preserve">2022 - 29% share of issued cards, 5% share of card TPV, 2.5% share of balances </t>
  </si>
  <si>
    <t xml:space="preserve">Q3 23 - 51% of adult pops in Brazil as users; </t>
  </si>
  <si>
    <t>13.7% share of credit card volume</t>
  </si>
  <si>
    <t>~ 50% of the unsecured personal loans in Brazil held by Nu's clients</t>
  </si>
  <si>
    <t xml:space="preserve"> and nearly 40% of the outstanding balance of payroll loans in Brazil is also held by Nu's clients</t>
  </si>
  <si>
    <t>TAM today, $</t>
  </si>
  <si>
    <t>Market share 2026</t>
  </si>
  <si>
    <t>TAM check</t>
  </si>
  <si>
    <t>share</t>
  </si>
  <si>
    <t>POPs</t>
  </si>
  <si>
    <t>Market TAM</t>
  </si>
  <si>
    <t>retail cc</t>
  </si>
  <si>
    <t>dez-2020</t>
  </si>
  <si>
    <t>jan-2021</t>
  </si>
  <si>
    <t>fev-2021</t>
  </si>
  <si>
    <t>mar-2021</t>
  </si>
  <si>
    <t>abr-2021</t>
  </si>
  <si>
    <t>mai-2021</t>
  </si>
  <si>
    <t>jun-2021</t>
  </si>
  <si>
    <t>jul-2021</t>
  </si>
  <si>
    <t>ago-2021</t>
  </si>
  <si>
    <t>set-2021</t>
  </si>
  <si>
    <t>out-2021</t>
  </si>
  <si>
    <t>nov-2021</t>
  </si>
  <si>
    <t>dez-2021</t>
  </si>
  <si>
    <t>jan-2022</t>
  </si>
  <si>
    <t>fev-2022</t>
  </si>
  <si>
    <t>mar-2022</t>
  </si>
  <si>
    <t>abr-2022</t>
  </si>
  <si>
    <t>mai-2022</t>
  </si>
  <si>
    <t>jun-2022</t>
  </si>
  <si>
    <t>jul-2022</t>
  </si>
  <si>
    <t>ago-2022</t>
  </si>
  <si>
    <t>set-2022</t>
  </si>
  <si>
    <t>out-2022</t>
  </si>
  <si>
    <t>nov-2022</t>
  </si>
  <si>
    <t>dez-2022</t>
  </si>
  <si>
    <t>jan-2023</t>
  </si>
  <si>
    <t>fev-2023</t>
  </si>
  <si>
    <t>mar-2023</t>
  </si>
  <si>
    <t>abr-2023</t>
  </si>
  <si>
    <t>mai-2023</t>
  </si>
  <si>
    <t>jun-2023</t>
  </si>
  <si>
    <t>jul-2023</t>
  </si>
  <si>
    <t>ago-2023</t>
  </si>
  <si>
    <t>corp</t>
  </si>
  <si>
    <t>payroll</t>
  </si>
  <si>
    <t>public</t>
  </si>
  <si>
    <t>inss</t>
  </si>
  <si>
    <t>private</t>
  </si>
  <si>
    <t>personal loans</t>
  </si>
  <si>
    <t xml:space="preserve">NU has 3m credit cards </t>
  </si>
  <si>
    <t>2.5% share (2022) of CC</t>
  </si>
  <si>
    <t>https://www.eleconomista.com.mx/sectorfinanciero/Bancos-colocaron-mas-de-3-millones-de-tarjetas-en-2024-20240109-0105.html</t>
  </si>
  <si>
    <t>https://www.infobae.com/colombia/2023/10/25/alertan-por-aumento-en-cancelacion-de-tarjetas-de-credito-los-bancos-estan-preocupados/</t>
  </si>
  <si>
    <t>US $ billion</t>
  </si>
  <si>
    <t>NU Subs today</t>
  </si>
  <si>
    <t>nationwide</t>
  </si>
  <si>
    <t>Total CC cards</t>
  </si>
  <si>
    <t>(active)</t>
  </si>
  <si>
    <t>Adj factor</t>
  </si>
  <si>
    <t>(Pers / payroll)</t>
  </si>
  <si>
    <t>2026 estimates</t>
  </si>
  <si>
    <t>NU net balance (BS)</t>
  </si>
  <si>
    <t>23-26e CAGR</t>
  </si>
  <si>
    <t>m</t>
  </si>
  <si>
    <t>rotating</t>
  </si>
  <si>
    <t>instalment</t>
  </si>
  <si>
    <t>no int</t>
  </si>
  <si>
    <t>Source: Brazil market credit balance from BCB</t>
  </si>
  <si>
    <t>npl</t>
  </si>
  <si>
    <t>Pre FY 23 call</t>
  </si>
  <si>
    <t>Digital competitor in Mexico</t>
  </si>
  <si>
    <t>Slowing Mexico, spending more</t>
  </si>
  <si>
    <t>Brazil market appetite stronger</t>
  </si>
  <si>
    <t>Funding costs down…?</t>
  </si>
  <si>
    <t>What seeing with prices</t>
  </si>
  <si>
    <t>Payroll separately booked</t>
  </si>
  <si>
    <t>Revolving credit</t>
  </si>
  <si>
    <t>Launch of Cuenta - 15% yield…118% of rates</t>
  </si>
  <si>
    <t>Nov-23 - $500m of deposits</t>
  </si>
  <si>
    <t>Q4 - added 1m in Mexico….balance of cards flattish</t>
  </si>
  <si>
    <t>11.25% to 15% …early Nov</t>
  </si>
  <si>
    <t>Banorte</t>
  </si>
  <si>
    <t>Focusing on launch of Cuenta</t>
  </si>
  <si>
    <t>bineo - incumbents try to digitalise</t>
  </si>
  <si>
    <t>Not just a pretty App. A lot of tech, underwriting models</t>
  </si>
  <si>
    <t>Continue to expand</t>
  </si>
  <si>
    <t>Somewhat independent of the macro</t>
  </si>
  <si>
    <t>Fy 24 - some sort of GDP slowdown…hence retrenchment from incumbents</t>
  </si>
  <si>
    <t>many positive macro indicators positive</t>
  </si>
  <si>
    <t>deceleration is less than was expected</t>
  </si>
  <si>
    <t>Track with BCB.. No material change in prices</t>
  </si>
  <si>
    <t>Eventually will need to cut prices</t>
  </si>
  <si>
    <t>But more profitable</t>
  </si>
  <si>
    <t>Not yet</t>
  </si>
  <si>
    <t>INSS, portability, FGTS loans</t>
  </si>
  <si>
    <t xml:space="preserve">Cap here…2.1% </t>
  </si>
  <si>
    <t>not fully rolled out… March and April impact</t>
  </si>
  <si>
    <t>small portion of customers</t>
  </si>
  <si>
    <t>$100 max..</t>
  </si>
  <si>
    <t>GTM impact…?</t>
  </si>
  <si>
    <t>Sao Paulo</t>
  </si>
  <si>
    <t>Monday conference…buy side / sell-side Brazilian analysts</t>
  </si>
  <si>
    <t>Change in expectations…income expectations</t>
  </si>
  <si>
    <t>1/ Credit growth increasing aggressively, IFRS book expected losses</t>
  </si>
  <si>
    <t>some models didn’t make sense</t>
  </si>
  <si>
    <t>so higher cost of risk</t>
  </si>
  <si>
    <t>2/ Deposit pick up</t>
  </si>
  <si>
    <t>Higher yield, higher expenses</t>
  </si>
  <si>
    <t>applied for a banking licence</t>
  </si>
  <si>
    <t>Mexico won't break-even in 2024</t>
  </si>
  <si>
    <t>Mex won’t be a tailwind</t>
  </si>
  <si>
    <t>Monday before 10% move</t>
  </si>
  <si>
    <t xml:space="preserve"> - Credit card receivables</t>
  </si>
  <si>
    <t>check</t>
  </si>
  <si>
    <t xml:space="preserve"> - Personal loans / other</t>
  </si>
  <si>
    <t>adds</t>
  </si>
  <si>
    <t>as % active users</t>
  </si>
  <si>
    <t xml:space="preserve"> Brazil</t>
  </si>
  <si>
    <t xml:space="preserve"> Mexico</t>
  </si>
  <si>
    <t>Q1 24</t>
  </si>
  <si>
    <t xml:space="preserve"> of which secured</t>
  </si>
  <si>
    <t xml:space="preserve"> of which non-secured</t>
  </si>
  <si>
    <t>Provisions up in Q1?</t>
  </si>
  <si>
    <t>Desenrola impacted Q4 maybe helped</t>
  </si>
  <si>
    <t>abnormally low</t>
  </si>
  <si>
    <t>BRL60-70m additional recoveries</t>
  </si>
  <si>
    <t>More normal levels this Q, a lot of growth</t>
  </si>
  <si>
    <t>Credit expansions, risk adjusted NIM strong</t>
  </si>
  <si>
    <t>NPLs improving last 2 Qs</t>
  </si>
  <si>
    <t>Better mix after repricing Cuenta yield up</t>
  </si>
  <si>
    <t>Risk adjusted NIM</t>
  </si>
  <si>
    <t>Would be stable q/q adjusting for Desenrola</t>
  </si>
  <si>
    <t>Will reflect dynamics of credit portfolio going forward</t>
  </si>
  <si>
    <t>SME</t>
  </si>
  <si>
    <t>4m in SME, 24 active clients</t>
  </si>
  <si>
    <t>9-10% per month according to BCB data</t>
  </si>
  <si>
    <t>Significant opportunity</t>
  </si>
  <si>
    <t>93m Br customers… have 8-9m small businesses</t>
  </si>
  <si>
    <t>of 15m businesses in Brazil</t>
  </si>
  <si>
    <t>already have a strong business</t>
  </si>
  <si>
    <t>1-2 shareholders.. Badly served</t>
  </si>
  <si>
    <t>Have account, debit. Building credit card</t>
  </si>
  <si>
    <t>can use credit underwriting data from consumer</t>
  </si>
  <si>
    <t>Profit pool</t>
  </si>
  <si>
    <t>65-70% driven by credit</t>
  </si>
  <si>
    <t>Less a share gain, rather a market expansion. SME credit is low</t>
  </si>
  <si>
    <t>Share based comp</t>
  </si>
  <si>
    <t>Higher</t>
  </si>
  <si>
    <t>Brazil should expand, even with secured as higher than cash yield</t>
  </si>
  <si>
    <t>Mexico / Colombia - small offset</t>
  </si>
  <si>
    <t>Overall should increase</t>
  </si>
  <si>
    <t>Loans to deposit ratio</t>
  </si>
  <si>
    <t>Large retail banks in LatAm is 100-110%</t>
  </si>
  <si>
    <t>Don't expect to get close</t>
  </si>
  <si>
    <t>But much higher than 40% in last Q</t>
  </si>
  <si>
    <t>15% of issuance in Brazil, second largest in Brazil</t>
  </si>
  <si>
    <t>Up 25% FX neutral in Q1, vs 8% on credit cards</t>
  </si>
  <si>
    <t>Originations to BRL 12 billion - unsecured</t>
  </si>
  <si>
    <t>eligibility expands</t>
  </si>
  <si>
    <t>total unsecured pie in Brazil</t>
  </si>
  <si>
    <t>subs are 43% of total loan book in Brazil</t>
  </si>
  <si>
    <t>&lt;8% market share here</t>
  </si>
  <si>
    <t>Secured</t>
  </si>
  <si>
    <t>Public payroll  - Consignado</t>
  </si>
  <si>
    <t>90% of originations</t>
  </si>
  <si>
    <t>Investment backed</t>
  </si>
  <si>
    <t>Secured to outpace</t>
  </si>
  <si>
    <t>Siape</t>
  </si>
  <si>
    <t>50% of secured target</t>
  </si>
  <si>
    <t>will add armed forces</t>
  </si>
  <si>
    <t>Target 75% of target market</t>
  </si>
  <si>
    <t>EV/EBIT</t>
  </si>
  <si>
    <t>NU thoughts</t>
  </si>
  <si>
    <t>Environment deteriorating in Brazil</t>
  </si>
  <si>
    <t>NU multiples widened vs local banks/Inter</t>
  </si>
  <si>
    <t>EH loans</t>
  </si>
  <si>
    <t>(proxy for Stage 3)</t>
  </si>
  <si>
    <t>Up 50 bps m/m in April</t>
  </si>
  <si>
    <t>90 to 180 days</t>
  </si>
  <si>
    <t>&gt;90 days</t>
  </si>
  <si>
    <t>Up in feb 30 bps</t>
  </si>
  <si>
    <t>flat in March</t>
  </si>
  <si>
    <t>Dec</t>
  </si>
  <si>
    <t>Mar</t>
  </si>
  <si>
    <t>NPLs will continue to go up</t>
  </si>
  <si>
    <t>NPLs dropping for other banks, with new originations</t>
  </si>
  <si>
    <t>interest earning will continue to go up</t>
  </si>
  <si>
    <t>Last 2 Q's in asset quality</t>
  </si>
  <si>
    <t>Revs strong</t>
  </si>
  <si>
    <t>Higher NPLs offset by higher yields</t>
  </si>
  <si>
    <t>Below consensus in Q2</t>
  </si>
  <si>
    <t>CoF in Mexico</t>
  </si>
  <si>
    <t>Mex</t>
  </si>
  <si>
    <t>Loan to deposit</t>
  </si>
  <si>
    <t>March</t>
  </si>
  <si>
    <t>NU and Stori</t>
  </si>
  <si>
    <t>MELI also</t>
  </si>
  <si>
    <t>partnership with AM called GPM</t>
  </si>
  <si>
    <t>money market, time deposits in 10Q</t>
  </si>
  <si>
    <t>MELI gets paid from GPM (45 bps)</t>
  </si>
  <si>
    <t>MELI raised to 15% (NU at 14.5%)</t>
  </si>
  <si>
    <t>400 bps</t>
  </si>
  <si>
    <t>Start to subsidise</t>
  </si>
  <si>
    <t>Consumer profile in Mexico</t>
  </si>
  <si>
    <t>acceptance down from 70% to 30%</t>
  </si>
  <si>
    <t>no banking licence … 20k cap with Sofipa, &gt;100k with banking licence</t>
  </si>
  <si>
    <t>Banking licence is key</t>
  </si>
  <si>
    <t>Tough for incumbents</t>
  </si>
  <si>
    <t>Clar</t>
  </si>
  <si>
    <t>loan to deposit down to 20%</t>
  </si>
  <si>
    <t>v costly</t>
  </si>
  <si>
    <t>Mar was 38%</t>
  </si>
  <si>
    <t>lowered rate to 14.5%</t>
  </si>
  <si>
    <t>38% will continue to come down</t>
  </si>
  <si>
    <t>will hurt profitability in mexico</t>
  </si>
  <si>
    <t>How to grow loans</t>
  </si>
  <si>
    <t>70% or so in 18 months. $1.5 billion in Mexico</t>
  </si>
  <si>
    <t>MELI x2 in Mexico</t>
  </si>
  <si>
    <t>nubank.com.mx</t>
  </si>
  <si>
    <t>NU MXN 14 billion in Mexico. NU needs to be larger than MELI</t>
  </si>
  <si>
    <t>Renegotiated loans slide</t>
  </si>
  <si>
    <t>NPL over these loans never stopped growing. Removed in Q1</t>
  </si>
  <si>
    <t>Q1 - provisioned 40% of renegotiated loans</t>
  </si>
  <si>
    <t>losses were 18%</t>
  </si>
  <si>
    <t>a ton of NPLs to come therefore</t>
  </si>
  <si>
    <t>PIX and renegotiated balance</t>
  </si>
  <si>
    <t>40% of revs</t>
  </si>
  <si>
    <t>high yield loans</t>
  </si>
  <si>
    <t>PIX is running at 5-6% per month</t>
  </si>
  <si>
    <t xml:space="preserve">increases </t>
  </si>
  <si>
    <t>Market cap &gt; Itau</t>
  </si>
  <si>
    <t>$15 bilion to Mexico</t>
  </si>
  <si>
    <t>60% of Banorte</t>
  </si>
  <si>
    <t>If all 100% of market cap</t>
  </si>
  <si>
    <t>30% upside to NU</t>
  </si>
  <si>
    <t>(BBVA is the best bank in Mexico)</t>
  </si>
  <si>
    <t>If successful in Mexico</t>
  </si>
  <si>
    <t>What's next… shows able to replicate the model..</t>
  </si>
  <si>
    <t>Other countries..?</t>
  </si>
  <si>
    <t>Price in the next market</t>
  </si>
  <si>
    <t>don’t know internally yet</t>
  </si>
  <si>
    <t>India, Nigeria..? US</t>
  </si>
  <si>
    <t>Investors want them to stop in Mexico</t>
  </si>
  <si>
    <t>To buy the stock…?</t>
  </si>
  <si>
    <t>Mexico very good</t>
  </si>
  <si>
    <t>Brazil doesn’t deteriorate</t>
  </si>
  <si>
    <t>didn’t blow up, but NPLs did go up in 2021</t>
  </si>
  <si>
    <t xml:space="preserve">market share for cards </t>
  </si>
  <si>
    <t>8-9%</t>
  </si>
  <si>
    <t>x2 faster than the industry</t>
  </si>
  <si>
    <t>more risk now if slowdown</t>
  </si>
  <si>
    <t>Shift from NU amongst Br sell side</t>
  </si>
  <si>
    <t>12 billion</t>
  </si>
  <si>
    <t>10-12% share LT</t>
  </si>
  <si>
    <t>Br</t>
  </si>
  <si>
    <t>could be conservative</t>
  </si>
  <si>
    <t>market up 9%</t>
  </si>
  <si>
    <t>7% off line share Br</t>
  </si>
  <si>
    <t>2% off line market share Mex</t>
  </si>
  <si>
    <t>triple digit growth</t>
  </si>
  <si>
    <t>pay real time</t>
  </si>
  <si>
    <t>best people</t>
  </si>
  <si>
    <t>Pay Clip in Mex</t>
  </si>
  <si>
    <t>another funding round. $2500 billion. Kept same val</t>
  </si>
  <si>
    <t>almost same cap as DLO</t>
  </si>
  <si>
    <t>$10-15 billion TPV (half DLO)</t>
  </si>
  <si>
    <t>breakeven</t>
  </si>
  <si>
    <t>net take 1.8%</t>
  </si>
  <si>
    <t>assume MELI similar</t>
  </si>
  <si>
    <t>can't compete with MELI</t>
  </si>
  <si>
    <t>dream of IPO and retire</t>
  </si>
  <si>
    <t>dlo best CEO</t>
  </si>
  <si>
    <t>DLO</t>
  </si>
  <si>
    <t>To get to low end of GP</t>
  </si>
  <si>
    <t>High confidence that nos materially higher in H2</t>
  </si>
  <si>
    <t>Shein - shifted volumes over from Ebanx… sudden win</t>
  </si>
  <si>
    <t>Temu starting from zero</t>
  </si>
  <si>
    <t>initially x-border, growing from zero</t>
  </si>
  <si>
    <t>do DLO have temu in mexico</t>
  </si>
  <si>
    <t>shein</t>
  </si>
  <si>
    <t>10% of revs for 1st time in Q2</t>
  </si>
  <si>
    <t>net take rate</t>
  </si>
  <si>
    <t>gross down 20-30 bps</t>
  </si>
  <si>
    <t>net down 50 bps</t>
  </si>
  <si>
    <t>temu and shein have local entity</t>
  </si>
  <si>
    <t>last year, 2 new merchants</t>
  </si>
  <si>
    <t>american tech. largest market caps. Apple</t>
  </si>
  <si>
    <t>temu - apple pay</t>
  </si>
  <si>
    <t>tough Q2 for DLO</t>
  </si>
  <si>
    <t>PAGS and STNE</t>
  </si>
  <si>
    <t xml:space="preserve">PAGS </t>
  </si>
  <si>
    <t>x-border, gambling and sporting bets</t>
  </si>
  <si>
    <t>mid high teens TPV. Flat take-rate</t>
  </si>
  <si>
    <t>customer gets</t>
  </si>
  <si>
    <t>cetes</t>
  </si>
  <si>
    <t>fee</t>
  </si>
  <si>
    <t>to gpm</t>
  </si>
  <si>
    <t>to meli</t>
  </si>
  <si>
    <t>customer now gets</t>
  </si>
  <si>
    <t>Klar</t>
  </si>
  <si>
    <t>Credit portfolio</t>
  </si>
  <si>
    <t>Loan to deposit (RHS)</t>
  </si>
  <si>
    <t>Q2 24e</t>
  </si>
  <si>
    <t>Implied yield (exp)</t>
  </si>
  <si>
    <t>Implied yield (inc)</t>
  </si>
  <si>
    <t>Q3 24e</t>
  </si>
  <si>
    <t>Q4 24e</t>
  </si>
  <si>
    <t>Gross loan portfolio, USD</t>
  </si>
  <si>
    <t>Net loan portfolio, USD</t>
  </si>
  <si>
    <t>Interest expense yield (deposits)</t>
  </si>
  <si>
    <t>Interest income yield (gross loans)</t>
  </si>
  <si>
    <t>Tax</t>
  </si>
  <si>
    <t>ECLs as %</t>
  </si>
  <si>
    <t xml:space="preserve">NPL +90 day </t>
  </si>
  <si>
    <t>NPL 15-90 day</t>
  </si>
  <si>
    <t>Q2 24</t>
  </si>
  <si>
    <t>q/q</t>
  </si>
  <si>
    <t>cof</t>
  </si>
  <si>
    <t>yield</t>
  </si>
  <si>
    <t>Banks</t>
  </si>
  <si>
    <t>Originations (Brazil)</t>
  </si>
  <si>
    <t>Unsecured</t>
  </si>
  <si>
    <t>90 day NPL</t>
  </si>
  <si>
    <t>coverage</t>
  </si>
  <si>
    <t>provision/NPL formation</t>
  </si>
  <si>
    <t>Blended NPL 90 day</t>
  </si>
  <si>
    <t>NPL 90 day</t>
  </si>
  <si>
    <t>Blended NPL 15-90</t>
  </si>
  <si>
    <t>15-90 day NPL</t>
  </si>
  <si>
    <t>12m rolling</t>
  </si>
  <si>
    <t>12m 2023</t>
  </si>
  <si>
    <t>3m 2024</t>
  </si>
  <si>
    <t>6m 2024</t>
  </si>
  <si>
    <t>Stage 3 formation ex-charge off</t>
  </si>
  <si>
    <t>ECL as % revenue</t>
  </si>
  <si>
    <t xml:space="preserve">Loans </t>
  </si>
  <si>
    <t>$</t>
  </si>
  <si>
    <t>PIX users, million</t>
  </si>
  <si>
    <t>ARPAC (reg customer)</t>
  </si>
  <si>
    <t>FTEs</t>
  </si>
  <si>
    <t>Staff costs</t>
  </si>
  <si>
    <t>per average employee</t>
  </si>
  <si>
    <t>Provision, BRL</t>
  </si>
  <si>
    <t>Total 12m formation</t>
  </si>
  <si>
    <t>Change in provision, BRL</t>
  </si>
  <si>
    <t>Change in USD provision</t>
  </si>
  <si>
    <t>as % formation</t>
  </si>
  <si>
    <t>Mexico in USD</t>
  </si>
  <si>
    <t>End period USD/MXN</t>
  </si>
  <si>
    <t>Mexico loan book in USD</t>
  </si>
  <si>
    <t>Mex as % total</t>
  </si>
  <si>
    <t>FY-2024</t>
  </si>
  <si>
    <t>FY-2025</t>
  </si>
  <si>
    <t>FY-2026</t>
  </si>
  <si>
    <t>Aug 26 2024</t>
  </si>
  <si>
    <t>FY-2027</t>
  </si>
  <si>
    <t>Changes</t>
  </si>
  <si>
    <t>24-26e CAGR</t>
  </si>
  <si>
    <t>P/E (GAAP)</t>
  </si>
  <si>
    <t>set-2023</t>
  </si>
  <si>
    <t>out-2023</t>
  </si>
  <si>
    <t>nov-2023</t>
  </si>
  <si>
    <t>dez-2023</t>
  </si>
  <si>
    <t>jan-2024</t>
  </si>
  <si>
    <t>fev-2024</t>
  </si>
  <si>
    <t>mar-2024</t>
  </si>
  <si>
    <t>abr-2024</t>
  </si>
  <si>
    <t>mai-2024*</t>
  </si>
  <si>
    <t>jun-2024*</t>
  </si>
  <si>
    <t>jul-2024*</t>
  </si>
  <si>
    <t>Br Credit card rec, Br</t>
  </si>
  <si>
    <t>Br Credit card rec, $</t>
  </si>
  <si>
    <t>NU receivables (gross)</t>
  </si>
  <si>
    <t>Br Credit card rec, Br HH</t>
  </si>
  <si>
    <t>Br Credit card rec, Br HH, $</t>
  </si>
  <si>
    <t>as % HH</t>
  </si>
  <si>
    <t>Personal loans, BRL</t>
  </si>
  <si>
    <t>Personal loans, $</t>
  </si>
  <si>
    <t>Assume credit cards</t>
  </si>
  <si>
    <t>Assume personal loans</t>
  </si>
  <si>
    <t>Loan portfolio, $ m</t>
  </si>
  <si>
    <t>Brazil share receivables</t>
  </si>
  <si>
    <t>Credit cards, $</t>
  </si>
  <si>
    <t>Consensus loan portfolio</t>
  </si>
  <si>
    <t>Vs Consenus</t>
  </si>
  <si>
    <t>Brazilian loan Portfolio (USD millions) - net</t>
  </si>
  <si>
    <t>Adj ROE</t>
  </si>
  <si>
    <t>Payout ratio</t>
  </si>
  <si>
    <t>DDM</t>
  </si>
  <si>
    <t>Expected EPS growth</t>
  </si>
  <si>
    <t>COE</t>
  </si>
  <si>
    <t>Risk free</t>
  </si>
  <si>
    <t>ERP</t>
  </si>
  <si>
    <t>Beta</t>
  </si>
  <si>
    <t>NPV</t>
  </si>
  <si>
    <t>Discounted terminal yar</t>
  </si>
  <si>
    <t>NPV  terminal value</t>
  </si>
  <si>
    <t>Dividend discount model</t>
  </si>
  <si>
    <t>FY-2028</t>
  </si>
  <si>
    <t xml:space="preserve">Basel requirement </t>
  </si>
  <si>
    <t>Geographic split</t>
  </si>
  <si>
    <t>https://nu.com.mx/informacion-financiera/</t>
  </si>
  <si>
    <t>Parent Co</t>
  </si>
  <si>
    <t>NU ex-Mexico</t>
  </si>
  <si>
    <t>MELI total</t>
  </si>
  <si>
    <t>Balance/sub</t>
  </si>
  <si>
    <t>Receivable</t>
  </si>
  <si>
    <t>Number of NU cards</t>
  </si>
  <si>
    <t>Number of MELI cards</t>
  </si>
  <si>
    <t xml:space="preserve"> of which Brazil</t>
  </si>
  <si>
    <t xml:space="preserve"> of which Mexico</t>
  </si>
  <si>
    <t>Assume Brazil as % total</t>
  </si>
  <si>
    <t>Total credit card receivables</t>
  </si>
  <si>
    <t>change</t>
  </si>
  <si>
    <t>Pago</t>
  </si>
  <si>
    <t>As % market</t>
  </si>
  <si>
    <t xml:space="preserve">Group net </t>
  </si>
  <si>
    <t>Market, $ m</t>
  </si>
  <si>
    <t>Number of cards</t>
  </si>
  <si>
    <t>Balance per user</t>
  </si>
  <si>
    <t>Receivables by provider</t>
  </si>
  <si>
    <t>Average loan portfolio</t>
  </si>
  <si>
    <t>Implied interest bearing credit cards</t>
  </si>
  <si>
    <t>as % total credit card receivables</t>
  </si>
  <si>
    <t>Average interest bearing loan portfolio as %</t>
  </si>
  <si>
    <t>Int-bearing portfolio</t>
  </si>
  <si>
    <t>Credit card spend per customer</t>
  </si>
  <si>
    <t>Spend per month</t>
  </si>
  <si>
    <t>Interchange, $ million</t>
  </si>
  <si>
    <t>Interchange on credit, bps</t>
  </si>
  <si>
    <t>Total interchange</t>
  </si>
  <si>
    <t>Implied interchange, bps</t>
  </si>
  <si>
    <t>Interchange on debit/pre-paid, $ million</t>
  </si>
  <si>
    <t xml:space="preserve"> of which credit cards</t>
  </si>
  <si>
    <t xml:space="preserve"> of which other (personal, secured)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</si>
</sst>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_);\(#,##0\);#,##0_);@_)"/>
    <numFmt numFmtId="165" formatCode="_(* #,##0.00_);_(* \(#,##0.00\);_(* &quot;-&quot;??_);_(@_)"/>
    <numFmt numFmtId="166" formatCode="_(* #,##0_);_(* \(#,##0\);_(* &quot;-&quot;??_);_(@_)"/>
    <numFmt numFmtId="167" formatCode="0.0%"/>
    <numFmt numFmtId="168" formatCode="0.0"/>
    <numFmt numFmtId="169" formatCode="0.000%"/>
    <numFmt numFmtId="170" formatCode="#,##0.0"/>
    <numFmt numFmtId="171" formatCode="_-&quot;R$&quot;\ * #,##0.00_-;\-&quot;R$&quot;\ * #,##0.00_-;_-&quot;R$&quot;\ * &quot;-&quot;??_-;_-@_-"/>
    <numFmt numFmtId="172" formatCode="&quot;R$&quot;#,##0.00"/>
    <numFmt numFmtId="173" formatCode="&quot;R$&quot;#,##0"/>
    <numFmt numFmtId="174" formatCode="[$$-C09]#,##0"/>
    <numFmt numFmtId="175" formatCode="[$$-C09]#,##0.00"/>
    <numFmt numFmtId="176" formatCode="[$$-C09]#,##0.0;\-[$$-C09]#,##0.0"/>
    <numFmt numFmtId="177" formatCode="#.##\x"/>
    <numFmt numFmtId="178" formatCode="#,##0.0;\(#,##0.0\)"/>
    <numFmt numFmtId="179" formatCode="#,##0;\(#,##0\)"/>
    <numFmt numFmtId="180" formatCode="#,##0.0000"/>
    <numFmt numFmtId="181" formatCode="&quot;$&quot;#,##0.0_);[Red]\(&quot;$&quot;#,##0.0\)"/>
    <numFmt numFmtId="182" formatCode="0.000"/>
    <numFmt numFmtId="183" formatCode="0.0\x"/>
    <numFmt numFmtId="184" formatCode="#,##0;[Red]\(#,##0\)"/>
  </numFmts>
  <fonts count="16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9"/>
      <color theme="1"/>
      <name val="Calibri"/>
      <family val="2"/>
    </font>
    <font>
      <sz val="10"/>
      <color indexed="8"/>
      <name val="Calibri"/>
      <family val="2"/>
    </font>
    <font>
      <sz val="8"/>
      <name val="Calibri"/>
      <family val="2"/>
    </font>
    <font>
      <b/>
      <sz val="18"/>
      <name val="Calibri"/>
      <family val="2"/>
    </font>
    <font>
      <sz val="9"/>
      <name val="Calibri"/>
      <family val="2"/>
    </font>
    <font>
      <sz val="10"/>
      <name val="Calibri"/>
      <family val="2"/>
    </font>
    <font>
      <b/>
      <sz val="10"/>
      <name val="Calibri"/>
      <family val="2"/>
    </font>
    <font>
      <i/>
      <sz val="10"/>
      <name val="Calibri"/>
      <family val="2"/>
    </font>
    <font>
      <b/>
      <i/>
      <sz val="9"/>
      <name val="Calibri"/>
      <family val="2"/>
    </font>
    <font>
      <sz val="9"/>
      <color theme="1"/>
      <name val="Calibri"/>
      <family val="2"/>
      <scheme val="minor"/>
    </font>
    <font>
      <sz val="12"/>
      <color theme="1"/>
      <name val="Calibri"/>
      <family val="2"/>
      <scheme val="minor"/>
    </font>
    <font>
      <b/>
      <sz val="12"/>
      <color theme="1"/>
      <name val="Calibri"/>
      <family val="2"/>
      <scheme val="minor"/>
    </font>
    <font>
      <sz val="10"/>
      <color theme="1"/>
      <name val="Calibri"/>
      <family val="2"/>
      <scheme val="minor"/>
    </font>
    <font>
      <b/>
      <sz val="10"/>
      <color theme="1"/>
      <name val="Calibri"/>
      <family val="2"/>
      <scheme val="minor"/>
    </font>
    <font>
      <sz val="10"/>
      <color rgb="FFFF0000"/>
      <name val="Calibri"/>
      <family val="2"/>
      <scheme val="minor"/>
    </font>
    <font>
      <sz val="10"/>
      <name val="Calibri"/>
      <family val="2"/>
      <scheme val="minor"/>
    </font>
    <font>
      <sz val="11"/>
      <name val="Calibri"/>
      <family val="2"/>
      <scheme val="minor"/>
    </font>
    <font>
      <b/>
      <sz val="11"/>
      <name val="Calibri"/>
      <family val="2"/>
      <scheme val="minor"/>
    </font>
    <font>
      <b/>
      <sz val="10"/>
      <name val="Calibri"/>
      <family val="2"/>
      <scheme val="minor"/>
    </font>
    <font>
      <b/>
      <sz val="9"/>
      <color indexed="81"/>
      <name val="Tahoma"/>
      <family val="2"/>
    </font>
    <font>
      <sz val="9"/>
      <color indexed="81"/>
      <name val="Tahoma"/>
      <family val="2"/>
    </font>
    <font>
      <sz val="10"/>
      <name val="Trebuchet MS"/>
      <family val="2"/>
    </font>
    <font>
      <b/>
      <sz val="10"/>
      <name val="Trebuchet MS"/>
      <family val="2"/>
    </font>
    <font>
      <b/>
      <sz val="10"/>
      <color theme="1"/>
      <name val="Trebuchet MS"/>
      <family val="2"/>
    </font>
    <font>
      <sz val="10"/>
      <color theme="1"/>
      <name val="Trebuchet MS"/>
      <family val="2"/>
    </font>
    <font>
      <sz val="8"/>
      <name val="Calibri"/>
      <family val="2"/>
      <scheme val="minor"/>
    </font>
    <font>
      <sz val="10"/>
      <name val="Arial"/>
      <family val="2"/>
    </font>
    <font>
      <u/>
      <sz val="12"/>
      <color theme="1"/>
      <name val="Calibri"/>
      <family val="2"/>
      <scheme val="minor"/>
    </font>
    <font>
      <u/>
      <sz val="11"/>
      <color theme="1"/>
      <name val="Calibri"/>
      <family val="2"/>
      <scheme val="minor"/>
    </font>
    <font>
      <b/>
      <sz val="11"/>
      <color indexed="9"/>
      <name val="Calibri"/>
      <family val="2"/>
    </font>
    <font>
      <b/>
      <sz val="10"/>
      <color indexed="9"/>
      <name val="Arial"/>
      <family val="2"/>
    </font>
    <font>
      <u/>
      <sz val="10"/>
      <color theme="1"/>
      <name val="Trebuchet MS"/>
      <family val="2"/>
    </font>
    <font>
      <b/>
      <u/>
      <sz val="10"/>
      <color theme="1"/>
      <name val="Trebuchet MS"/>
      <family val="2"/>
    </font>
    <font>
      <sz val="12"/>
      <color rgb="FFFF0000"/>
      <name val="Calibri"/>
      <family val="2"/>
      <scheme val="minor"/>
    </font>
    <font>
      <sz val="12"/>
      <color theme="0"/>
      <name val="Calibri"/>
      <family val="2"/>
      <scheme val="minor"/>
    </font>
    <font>
      <sz val="9"/>
      <name val="Calibri"/>
      <family val="2"/>
      <scheme val="minor"/>
    </font>
    <font>
      <sz val="10"/>
      <color rgb="FFFF0000"/>
      <name val="Trebuchet MS"/>
      <family val="2"/>
    </font>
    <font>
      <b/>
      <i/>
      <sz val="11"/>
      <color theme="1"/>
      <name val="Calibri"/>
      <family val="2"/>
      <scheme val="minor"/>
    </font>
    <font>
      <b/>
      <i/>
      <sz val="10"/>
      <name val="Calibri"/>
      <family val="2"/>
      <scheme val="minor"/>
    </font>
    <font>
      <b/>
      <u/>
      <sz val="10"/>
      <color theme="1"/>
      <name val="Calibri"/>
      <family val="2"/>
      <scheme val="minor"/>
    </font>
    <font>
      <b/>
      <u/>
      <sz val="11"/>
      <color theme="1"/>
      <name val="Calibri"/>
      <family val="2"/>
      <scheme val="minor"/>
    </font>
    <font>
      <b/>
      <i/>
      <sz val="11"/>
      <color rgb="FFFF0000"/>
      <name val="Calibri"/>
      <family val="2"/>
      <scheme val="minor"/>
    </font>
    <font>
      <b/>
      <sz val="12"/>
      <name val="Calibri"/>
      <family val="2"/>
      <scheme val="minor"/>
    </font>
    <font>
      <sz val="10"/>
      <color theme="4"/>
      <name val="Calibri"/>
      <family val="2"/>
      <scheme val="minor"/>
    </font>
    <font>
      <i/>
      <sz val="10"/>
      <name val="Calibri"/>
      <family val="2"/>
      <scheme val="minor"/>
    </font>
    <font>
      <sz val="11"/>
      <color theme="4"/>
      <name val="Calibri"/>
      <family val="2"/>
      <scheme val="minor"/>
    </font>
    <font>
      <b/>
      <u/>
      <sz val="12"/>
      <color theme="1"/>
      <name val="Calibri"/>
      <family val="2"/>
      <scheme val="minor"/>
    </font>
    <font>
      <sz val="10"/>
      <color theme="1"/>
      <name val="Calibri"/>
      <family val="2"/>
    </font>
    <font>
      <sz val="10"/>
      <color theme="1"/>
      <name val="Arial"/>
      <family val="2"/>
    </font>
    <font>
      <sz val="10"/>
      <color theme="4"/>
      <name val="Trebuchet MS"/>
      <family val="2"/>
    </font>
    <font>
      <sz val="12"/>
      <color theme="4"/>
      <name val="Calibri"/>
      <family val="2"/>
      <scheme val="minor"/>
    </font>
    <font>
      <b/>
      <sz val="9"/>
      <color theme="1"/>
      <name val="Trebuchet MS"/>
      <family val="2"/>
    </font>
    <font>
      <sz val="9"/>
      <color theme="1"/>
      <name val="Trebuchet MS"/>
      <family val="2"/>
    </font>
    <font>
      <b/>
      <sz val="9"/>
      <color theme="1"/>
      <name val="Calibri"/>
      <family val="2"/>
      <scheme val="minor"/>
    </font>
    <font>
      <b/>
      <sz val="11"/>
      <color theme="4"/>
      <name val="Calibri"/>
      <family val="2"/>
      <scheme val="minor"/>
    </font>
    <font>
      <sz val="11"/>
      <color theme="1"/>
      <name val="Roboto"/>
    </font>
    <font>
      <sz val="12"/>
      <color theme="1"/>
      <name val="Roboto"/>
    </font>
    <font>
      <b/>
      <sz val="12"/>
      <color theme="1"/>
      <name val="Roboto"/>
    </font>
    <font>
      <sz val="10"/>
      <color theme="1"/>
      <name val="Roboto"/>
    </font>
    <font>
      <b/>
      <sz val="11"/>
      <color theme="1"/>
      <name val="Roboto"/>
    </font>
    <font>
      <b/>
      <sz val="10"/>
      <color theme="1"/>
      <name val="Roboto"/>
    </font>
    <font>
      <sz val="10"/>
      <color rgb="FFFF0000"/>
      <name val="Roboto"/>
    </font>
    <font>
      <sz val="11"/>
      <color rgb="FFFF0000"/>
      <name val="Roboto"/>
    </font>
    <font>
      <sz val="10"/>
      <color indexed="8"/>
      <name val="Roboto"/>
    </font>
    <font>
      <sz val="9"/>
      <color theme="1"/>
      <name val="Roboto"/>
    </font>
    <font>
      <u/>
      <sz val="11"/>
      <color theme="1"/>
      <name val="Roboto"/>
    </font>
    <font>
      <b/>
      <u/>
      <sz val="10"/>
      <color theme="1"/>
      <name val="Roboto"/>
    </font>
    <font>
      <b/>
      <i/>
      <sz val="10"/>
      <color theme="1"/>
      <name val="Roboto"/>
    </font>
    <font>
      <i/>
      <sz val="10"/>
      <color theme="1"/>
      <name val="Roboto"/>
    </font>
    <font>
      <b/>
      <u/>
      <sz val="11"/>
      <color theme="1"/>
      <name val="Roboto"/>
    </font>
    <font>
      <sz val="10"/>
      <name val="Roboto"/>
    </font>
    <font>
      <b/>
      <sz val="10"/>
      <name val="Roboto"/>
    </font>
    <font>
      <sz val="11"/>
      <color rgb="FF00112C"/>
      <name val="Roboto"/>
    </font>
    <font>
      <sz val="10"/>
      <color rgb="FF9999FF"/>
      <name val="Trebuchet MS"/>
      <family val="2"/>
    </font>
    <font>
      <i/>
      <sz val="11"/>
      <color theme="1"/>
      <name val="Calibri"/>
      <family val="2"/>
      <scheme val="minor"/>
    </font>
    <font>
      <b/>
      <sz val="11"/>
      <name val="Roboto"/>
    </font>
    <font>
      <sz val="11"/>
      <name val="Roboto"/>
    </font>
    <font>
      <u/>
      <sz val="11"/>
      <name val="Roboto"/>
    </font>
    <font>
      <i/>
      <sz val="11"/>
      <color rgb="FFFF0000"/>
      <name val="Calibri"/>
      <family val="2"/>
      <scheme val="minor"/>
    </font>
    <font>
      <b/>
      <sz val="11"/>
      <color rgb="FFFF0000"/>
      <name val="Calibri"/>
      <family val="2"/>
      <scheme val="minor"/>
    </font>
    <font>
      <b/>
      <i/>
      <sz val="11"/>
      <name val="Calibri"/>
      <family val="2"/>
      <scheme val="minor"/>
    </font>
    <font>
      <i/>
      <sz val="11"/>
      <name val="Calibri"/>
      <family val="2"/>
      <scheme val="minor"/>
    </font>
    <font>
      <sz val="11"/>
      <color rgb="FF9999FF"/>
      <name val="Calibri"/>
      <family val="2"/>
      <scheme val="minor"/>
    </font>
    <font>
      <sz val="12"/>
      <color rgb="FF9999FF"/>
      <name val="Calibri"/>
      <family val="2"/>
      <scheme val="minor"/>
    </font>
    <font>
      <b/>
      <sz val="11"/>
      <color rgb="FF9999FF"/>
      <name val="Calibri"/>
      <family val="2"/>
      <scheme val="minor"/>
    </font>
    <font>
      <b/>
      <u/>
      <sz val="11"/>
      <color rgb="FF9999FF"/>
      <name val="Calibri"/>
      <family val="2"/>
      <scheme val="minor"/>
    </font>
    <font>
      <sz val="11"/>
      <color rgb="FFC00000"/>
      <name val="Calibri"/>
      <family val="2"/>
      <scheme val="minor"/>
    </font>
    <font>
      <b/>
      <sz val="10"/>
      <color theme="4"/>
      <name val="Trebuchet MS"/>
      <family val="2"/>
    </font>
    <font>
      <i/>
      <sz val="11"/>
      <color theme="1"/>
      <name val="Roboto"/>
    </font>
    <font>
      <b/>
      <i/>
      <sz val="11"/>
      <color theme="1"/>
      <name val="Roboto"/>
    </font>
    <font>
      <b/>
      <sz val="11"/>
      <color theme="0"/>
      <name val="Calibri"/>
      <family val="2"/>
      <scheme val="minor"/>
    </font>
    <font>
      <sz val="11"/>
      <color rgb="FF9999FF"/>
      <name val="Roboto"/>
    </font>
    <font>
      <i/>
      <sz val="12"/>
      <color theme="1"/>
      <name val="Calibri"/>
      <family val="2"/>
      <scheme val="minor"/>
    </font>
    <font>
      <b/>
      <sz val="10"/>
      <color rgb="FFFF0000"/>
      <name val="Calibri"/>
      <family val="2"/>
      <scheme val="minor"/>
    </font>
    <font>
      <sz val="10"/>
      <color theme="3" tint="0.499984740745262"/>
      <name val="Trebuchet MS"/>
      <family val="2"/>
    </font>
    <font>
      <sz val="11"/>
      <color theme="3" tint="0.499984740745262"/>
      <name val="Calibri"/>
      <family val="2"/>
      <scheme val="minor"/>
    </font>
  </fonts>
  <fills count="20">
    <fill>
      <patternFill patternType="none"/>
    </fill>
    <fill>
      <patternFill patternType="gray125"/>
    </fill>
    <fill>
      <patternFill patternType="solid">
        <fgColor indexed="65"/>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4F81BD"/>
        <bgColor indexed="64"/>
      </patternFill>
    </fill>
    <fill>
      <patternFill patternType="solid">
        <fgColor rgb="FFFFFFFF"/>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tint="-0.14999847407452621"/>
        <bgColor theme="0" tint="-0.14999847407452621"/>
      </patternFill>
    </fill>
    <fill>
      <patternFill patternType="solid">
        <fgColor theme="2" tint="-9.9978637043366805E-2"/>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theme="0" tint="-0.14999847407452621"/>
      </patternFill>
    </fill>
    <fill>
      <patternFill patternType="solid">
        <fgColor theme="9" tint="0.79998168889431442"/>
        <bgColor indexed="64"/>
      </patternFill>
    </fill>
  </fills>
  <borders count="33">
    <border>
      <left/>
      <right/>
      <top/>
      <bottom/>
      <diagonal/>
    </border>
    <border>
      <left/>
      <right/>
      <top/>
      <bottom style="medium">
        <color indexed="64"/>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theme="1"/>
      </top>
      <bottom style="thin">
        <color indexed="64"/>
      </bottom>
      <diagonal/>
    </border>
    <border>
      <left/>
      <right/>
      <top style="thin">
        <color theme="1"/>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theme="1"/>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29">
    <xf numFmtId="0" fontId="0" fillId="0" borderId="0"/>
    <xf numFmtId="165" fontId="79" fillId="0" borderId="0" applyFont="0" applyFill="0" applyBorder="0" applyAlignment="0" applyProtection="0"/>
    <xf numFmtId="9" fontId="79" fillId="0" borderId="0" applyFont="0" applyFill="0" applyBorder="0" applyAlignment="0" applyProtection="0"/>
    <xf numFmtId="0" fontId="69" fillId="0" borderId="0"/>
    <xf numFmtId="165" fontId="69" fillId="0" borderId="0" applyFont="0" applyFill="0" applyBorder="0" applyAlignment="0" applyProtection="0"/>
    <xf numFmtId="0" fontId="90" fillId="0" borderId="0"/>
    <xf numFmtId="0" fontId="59" fillId="0" borderId="0"/>
    <xf numFmtId="9" fontId="59" fillId="0" borderId="0" applyFont="0" applyFill="0" applyBorder="0" applyAlignment="0" applyProtection="0"/>
    <xf numFmtId="0" fontId="95" fillId="0" borderId="0"/>
    <xf numFmtId="171" fontId="59" fillId="0" borderId="0" applyFont="0" applyFill="0" applyBorder="0" applyAlignment="0" applyProtection="0"/>
    <xf numFmtId="43" fontId="59" fillId="0" borderId="0" applyFont="0" applyFill="0" applyBorder="0" applyAlignment="0" applyProtection="0"/>
    <xf numFmtId="43" fontId="95" fillId="0" borderId="0" applyFont="0" applyFill="0" applyBorder="0" applyAlignment="0" applyProtection="0"/>
    <xf numFmtId="43" fontId="69" fillId="0" borderId="0" applyFont="0" applyFill="0" applyBorder="0" applyAlignment="0" applyProtection="0"/>
    <xf numFmtId="44" fontId="79" fillId="0" borderId="0" applyFont="0" applyFill="0" applyBorder="0" applyAlignment="0" applyProtection="0"/>
    <xf numFmtId="0" fontId="98" fillId="8" borderId="0"/>
    <xf numFmtId="0" fontId="99" fillId="8" borderId="15">
      <alignment horizontal="right"/>
    </xf>
    <xf numFmtId="0" fontId="53" fillId="0" borderId="0"/>
    <xf numFmtId="0" fontId="53" fillId="0" borderId="0"/>
    <xf numFmtId="0" fontId="39" fillId="0" borderId="0"/>
    <xf numFmtId="0" fontId="116" fillId="0" borderId="0"/>
    <xf numFmtId="9" fontId="117" fillId="0" borderId="0" applyFont="0" applyFill="0" applyBorder="0" applyAlignment="0" applyProtection="0"/>
    <xf numFmtId="44" fontId="117" fillId="0" borderId="0" applyFont="0" applyFill="0" applyBorder="0" applyAlignment="0" applyProtection="0"/>
    <xf numFmtId="42" fontId="117" fillId="0" borderId="0" applyFont="0" applyFill="0" applyBorder="0" applyAlignment="0" applyProtection="0"/>
    <xf numFmtId="43" fontId="117" fillId="0" borderId="0" applyFont="0" applyFill="0" applyBorder="0" applyAlignment="0" applyProtection="0"/>
    <xf numFmtId="41" fontId="117" fillId="0" borderId="0" applyFont="0" applyFill="0" applyBorder="0" applyAlignment="0" applyProtection="0"/>
    <xf numFmtId="0" fontId="35" fillId="0" borderId="0"/>
    <xf numFmtId="9" fontId="35" fillId="0" borderId="0" applyFont="0" applyFill="0" applyBorder="0" applyAlignment="0" applyProtection="0"/>
    <xf numFmtId="43" fontId="35" fillId="0" borderId="0" applyFont="0" applyFill="0" applyBorder="0" applyAlignment="0" applyProtection="0"/>
    <xf numFmtId="0" fontId="35" fillId="0" borderId="0"/>
  </cellStyleXfs>
  <cellXfs count="1323">
    <xf numFmtId="0" fontId="0" fillId="0" borderId="0" xfId="0"/>
    <xf numFmtId="0" fontId="70" fillId="2" borderId="1" xfId="3" applyFont="1" applyFill="1" applyBorder="1"/>
    <xf numFmtId="0" fontId="71" fillId="2" borderId="1" xfId="3" applyFont="1" applyFill="1" applyBorder="1"/>
    <xf numFmtId="0" fontId="69" fillId="0" borderId="0" xfId="3"/>
    <xf numFmtId="0" fontId="71" fillId="2" borderId="0" xfId="3" applyFont="1" applyFill="1"/>
    <xf numFmtId="0" fontId="72" fillId="2" borderId="0" xfId="3" applyFont="1" applyFill="1"/>
    <xf numFmtId="14" fontId="73" fillId="2" borderId="0" xfId="3" applyNumberFormat="1" applyFont="1" applyFill="1" applyAlignment="1">
      <alignment horizontal="left"/>
    </xf>
    <xf numFmtId="0" fontId="74" fillId="2" borderId="0" xfId="3" applyFont="1" applyFill="1"/>
    <xf numFmtId="164" fontId="71" fillId="2" borderId="0" xfId="3" applyNumberFormat="1" applyFont="1" applyFill="1"/>
    <xf numFmtId="0" fontId="75" fillId="2" borderId="0" xfId="3" applyFont="1" applyFill="1"/>
    <xf numFmtId="0" fontId="69" fillId="2" borderId="0" xfId="3" applyFill="1"/>
    <xf numFmtId="0" fontId="76" fillId="2" borderId="0" xfId="3" applyFont="1" applyFill="1"/>
    <xf numFmtId="0" fontId="74" fillId="2" borderId="0" xfId="3" quotePrefix="1" applyFont="1" applyFill="1"/>
    <xf numFmtId="0" fontId="73" fillId="2" borderId="0" xfId="3" applyFont="1" applyFill="1"/>
    <xf numFmtId="0" fontId="77" fillId="2" borderId="0" xfId="3" applyFont="1" applyFill="1"/>
    <xf numFmtId="166" fontId="71" fillId="2" borderId="0" xfId="4" applyNumberFormat="1" applyFont="1" applyFill="1"/>
    <xf numFmtId="37" fontId="73" fillId="2" borderId="0" xfId="3" applyNumberFormat="1" applyFont="1" applyFill="1"/>
    <xf numFmtId="0" fontId="66" fillId="0" borderId="0" xfId="0" applyFont="1"/>
    <xf numFmtId="0" fontId="66" fillId="4" borderId="0" xfId="0" applyFont="1" applyFill="1"/>
    <xf numFmtId="0" fontId="0" fillId="0" borderId="0" xfId="0" applyAlignment="1">
      <alignment horizontal="right"/>
    </xf>
    <xf numFmtId="0" fontId="80" fillId="0" borderId="0" xfId="0" applyFont="1"/>
    <xf numFmtId="0" fontId="81" fillId="0" borderId="0" xfId="0" applyFont="1" applyAlignment="1">
      <alignment horizontal="center"/>
    </xf>
    <xf numFmtId="0" fontId="0" fillId="0" borderId="2" xfId="0" applyBorder="1"/>
    <xf numFmtId="1" fontId="68" fillId="0" borderId="0" xfId="0" applyNumberFormat="1" applyFont="1"/>
    <xf numFmtId="0" fontId="81" fillId="0" borderId="0" xfId="0" applyFont="1" applyAlignment="1">
      <alignment horizontal="left" indent="1"/>
    </xf>
    <xf numFmtId="0" fontId="66" fillId="0" borderId="0" xfId="0" applyFont="1" applyAlignment="1">
      <alignment horizontal="right"/>
    </xf>
    <xf numFmtId="0" fontId="82" fillId="0" borderId="0" xfId="0" applyFont="1"/>
    <xf numFmtId="1" fontId="81" fillId="0" borderId="3" xfId="0" applyNumberFormat="1" applyFont="1" applyBorder="1"/>
    <xf numFmtId="0" fontId="81" fillId="0" borderId="3" xfId="0" applyFont="1" applyBorder="1"/>
    <xf numFmtId="0" fontId="66" fillId="0" borderId="0" xfId="0" applyFont="1" applyAlignment="1">
      <alignment horizontal="left" indent="1"/>
    </xf>
    <xf numFmtId="1" fontId="83" fillId="0" borderId="0" xfId="0" applyNumberFormat="1" applyFont="1"/>
    <xf numFmtId="1" fontId="81" fillId="0" borderId="0" xfId="0" applyNumberFormat="1" applyFont="1"/>
    <xf numFmtId="0" fontId="81" fillId="0" borderId="0" xfId="0" applyFont="1"/>
    <xf numFmtId="0" fontId="83" fillId="0" borderId="0" xfId="0" applyFont="1"/>
    <xf numFmtId="10" fontId="81" fillId="0" borderId="0" xfId="2" applyNumberFormat="1" applyFont="1" applyBorder="1"/>
    <xf numFmtId="0" fontId="81" fillId="0" borderId="0" xfId="0" quotePrefix="1" applyFont="1"/>
    <xf numFmtId="3" fontId="81" fillId="0" borderId="0" xfId="0" applyNumberFormat="1" applyFont="1"/>
    <xf numFmtId="0" fontId="81" fillId="0" borderId="0" xfId="0" applyFont="1" applyAlignment="1">
      <alignment horizontal="left" indent="2"/>
    </xf>
    <xf numFmtId="167" fontId="84" fillId="0" borderId="0" xfId="2" applyNumberFormat="1" applyFont="1"/>
    <xf numFmtId="9" fontId="81" fillId="0" borderId="0" xfId="0" applyNumberFormat="1" applyFont="1"/>
    <xf numFmtId="0" fontId="68" fillId="0" borderId="0" xfId="0" applyFont="1"/>
    <xf numFmtId="0" fontId="66" fillId="0" borderId="3" xfId="0" applyFont="1" applyBorder="1"/>
    <xf numFmtId="3" fontId="67" fillId="0" borderId="3" xfId="0" applyNumberFormat="1" applyFont="1" applyBorder="1"/>
    <xf numFmtId="1" fontId="66" fillId="0" borderId="0" xfId="0" applyNumberFormat="1" applyFont="1"/>
    <xf numFmtId="1" fontId="84" fillId="0" borderId="0" xfId="0" applyNumberFormat="1" applyFont="1"/>
    <xf numFmtId="10" fontId="84" fillId="0" borderId="0" xfId="2" applyNumberFormat="1" applyFont="1"/>
    <xf numFmtId="0" fontId="86" fillId="0" borderId="0" xfId="0" applyFont="1"/>
    <xf numFmtId="0" fontId="87" fillId="0" borderId="0" xfId="0" applyFont="1"/>
    <xf numFmtId="3" fontId="66" fillId="0" borderId="3" xfId="0" applyNumberFormat="1" applyFont="1" applyBorder="1"/>
    <xf numFmtId="3" fontId="66" fillId="0" borderId="0" xfId="0" applyNumberFormat="1" applyFont="1"/>
    <xf numFmtId="3" fontId="67" fillId="3" borderId="0" xfId="0" applyNumberFormat="1" applyFont="1" applyFill="1"/>
    <xf numFmtId="4" fontId="66" fillId="0" borderId="0" xfId="0" applyNumberFormat="1" applyFont="1"/>
    <xf numFmtId="0" fontId="86" fillId="0" borderId="1" xfId="0" applyFont="1" applyBorder="1" applyAlignment="1">
      <alignment horizontal="left"/>
    </xf>
    <xf numFmtId="1" fontId="86" fillId="0" borderId="1" xfId="0" applyNumberFormat="1" applyFont="1" applyBorder="1"/>
    <xf numFmtId="1" fontId="68" fillId="0" borderId="1" xfId="0" applyNumberFormat="1" applyFont="1" applyBorder="1"/>
    <xf numFmtId="0" fontId="86" fillId="0" borderId="0" xfId="0" applyFont="1" applyAlignment="1">
      <alignment horizontal="left" indent="3"/>
    </xf>
    <xf numFmtId="1" fontId="86" fillId="0" borderId="0" xfId="0" applyNumberFormat="1" applyFont="1"/>
    <xf numFmtId="0" fontId="86" fillId="0" borderId="0" xfId="0" applyFont="1" applyAlignment="1">
      <alignment horizontal="left" indent="6"/>
    </xf>
    <xf numFmtId="0" fontId="85" fillId="0" borderId="0" xfId="0" applyFont="1" applyAlignment="1">
      <alignment horizontal="left" indent="7"/>
    </xf>
    <xf numFmtId="1" fontId="67" fillId="0" borderId="0" xfId="0" applyNumberFormat="1" applyFont="1"/>
    <xf numFmtId="0" fontId="86" fillId="0" borderId="0" xfId="0" applyFont="1" applyAlignment="1">
      <alignment horizontal="left" indent="9"/>
    </xf>
    <xf numFmtId="0" fontId="85" fillId="0" borderId="0" xfId="0" applyFont="1" applyAlignment="1">
      <alignment horizontal="left" indent="10"/>
    </xf>
    <xf numFmtId="0" fontId="85" fillId="0" borderId="0" xfId="0" applyFont="1" applyAlignment="1">
      <alignment horizontal="left" indent="1"/>
    </xf>
    <xf numFmtId="0" fontId="85" fillId="0" borderId="0" xfId="0" applyFont="1" applyAlignment="1">
      <alignment horizontal="left"/>
    </xf>
    <xf numFmtId="1" fontId="66" fillId="0" borderId="2" xfId="0" applyNumberFormat="1" applyFont="1" applyBorder="1"/>
    <xf numFmtId="0" fontId="68" fillId="0" borderId="1" xfId="0" applyFont="1" applyBorder="1"/>
    <xf numFmtId="0" fontId="85" fillId="0" borderId="0" xfId="0" applyFont="1" applyAlignment="1">
      <alignment horizontal="left" indent="4"/>
    </xf>
    <xf numFmtId="0" fontId="85" fillId="0" borderId="0" xfId="0" applyFont="1" applyAlignment="1">
      <alignment horizontal="left" indent="9"/>
    </xf>
    <xf numFmtId="0" fontId="86" fillId="0" borderId="1" xfId="0" applyFont="1" applyBorder="1" applyAlignment="1">
      <alignment horizontal="left" indent="3"/>
    </xf>
    <xf numFmtId="0" fontId="85" fillId="0" borderId="0" xfId="0" applyFont="1" applyAlignment="1">
      <alignment horizontal="left" indent="6"/>
    </xf>
    <xf numFmtId="0" fontId="66" fillId="4" borderId="0" xfId="0" applyFont="1" applyFill="1" applyAlignment="1">
      <alignment horizontal="right"/>
    </xf>
    <xf numFmtId="0" fontId="86" fillId="0" borderId="1" xfId="0" applyFont="1" applyBorder="1"/>
    <xf numFmtId="0" fontId="81" fillId="4" borderId="0" xfId="0" applyFont="1" applyFill="1"/>
    <xf numFmtId="14" fontId="66" fillId="0" borderId="0" xfId="0" applyNumberFormat="1" applyFont="1"/>
    <xf numFmtId="10" fontId="81" fillId="3" borderId="0" xfId="0" applyNumberFormat="1" applyFont="1" applyFill="1" applyAlignment="1">
      <alignment horizontal="right"/>
    </xf>
    <xf numFmtId="10" fontId="81" fillId="3" borderId="0" xfId="2" applyNumberFormat="1" applyFont="1" applyFill="1" applyAlignment="1">
      <alignment horizontal="right"/>
    </xf>
    <xf numFmtId="0" fontId="92" fillId="0" borderId="8" xfId="0" applyFont="1" applyBorder="1"/>
    <xf numFmtId="0" fontId="93" fillId="5" borderId="0" xfId="0" applyFont="1" applyFill="1"/>
    <xf numFmtId="3" fontId="93" fillId="5" borderId="0" xfId="0" applyNumberFormat="1" applyFont="1" applyFill="1"/>
    <xf numFmtId="0" fontId="93" fillId="0" borderId="0" xfId="0" applyFont="1"/>
    <xf numFmtId="3" fontId="93" fillId="0" borderId="0" xfId="0" applyNumberFormat="1" applyFont="1"/>
    <xf numFmtId="0" fontId="93" fillId="0" borderId="12" xfId="0" applyFont="1" applyBorder="1"/>
    <xf numFmtId="0" fontId="92" fillId="0" borderId="0" xfId="0" applyFont="1"/>
    <xf numFmtId="1" fontId="0" fillId="0" borderId="0" xfId="0" applyNumberFormat="1"/>
    <xf numFmtId="0" fontId="0" fillId="0" borderId="12" xfId="0" applyBorder="1"/>
    <xf numFmtId="168" fontId="0" fillId="0" borderId="0" xfId="0" applyNumberFormat="1"/>
    <xf numFmtId="3" fontId="0" fillId="0" borderId="0" xfId="0" applyNumberFormat="1"/>
    <xf numFmtId="0" fontId="80" fillId="0" borderId="1" xfId="0" applyFont="1" applyBorder="1"/>
    <xf numFmtId="0" fontId="82" fillId="0" borderId="1" xfId="0" applyFont="1" applyBorder="1"/>
    <xf numFmtId="0" fontId="66" fillId="0" borderId="0" xfId="0" applyFont="1" applyAlignment="1">
      <alignment horizontal="left"/>
    </xf>
    <xf numFmtId="10" fontId="81" fillId="0" borderId="0" xfId="2" applyNumberFormat="1" applyFont="1" applyFill="1" applyBorder="1"/>
    <xf numFmtId="0" fontId="66" fillId="0" borderId="0" xfId="0" applyFont="1" applyAlignment="1">
      <alignment horizontal="left" indent="2"/>
    </xf>
    <xf numFmtId="0" fontId="81" fillId="0" borderId="0" xfId="0" applyFont="1" applyAlignment="1">
      <alignment horizontal="left" indent="3"/>
    </xf>
    <xf numFmtId="9" fontId="83" fillId="0" borderId="0" xfId="0" applyNumberFormat="1" applyFont="1"/>
    <xf numFmtId="0" fontId="68" fillId="0" borderId="0" xfId="0" applyFont="1" applyAlignment="1">
      <alignment horizontal="left"/>
    </xf>
    <xf numFmtId="1" fontId="87" fillId="0" borderId="0" xfId="0" applyNumberFormat="1" applyFont="1"/>
    <xf numFmtId="0" fontId="65" fillId="0" borderId="0" xfId="0" applyFont="1"/>
    <xf numFmtId="1" fontId="85" fillId="0" borderId="0" xfId="0" applyNumberFormat="1" applyFont="1"/>
    <xf numFmtId="1" fontId="65" fillId="0" borderId="0" xfId="0" applyNumberFormat="1" applyFont="1"/>
    <xf numFmtId="0" fontId="86" fillId="0" borderId="0" xfId="0" applyFont="1" applyAlignment="1">
      <alignment horizontal="left"/>
    </xf>
    <xf numFmtId="1" fontId="81" fillId="0" borderId="1" xfId="0" applyNumberFormat="1" applyFont="1" applyBorder="1"/>
    <xf numFmtId="0" fontId="0" fillId="0" borderId="1" xfId="0" applyBorder="1"/>
    <xf numFmtId="0" fontId="68" fillId="0" borderId="1" xfId="0" applyFont="1" applyBorder="1" applyAlignment="1">
      <alignment horizontal="left"/>
    </xf>
    <xf numFmtId="0" fontId="66" fillId="0" borderId="2" xfId="0" applyFont="1" applyBorder="1" applyAlignment="1">
      <alignment horizontal="right"/>
    </xf>
    <xf numFmtId="167" fontId="78" fillId="0" borderId="0" xfId="2" applyNumberFormat="1" applyFont="1" applyBorder="1" applyAlignment="1">
      <alignment horizontal="right"/>
    </xf>
    <xf numFmtId="167" fontId="78" fillId="0" borderId="1" xfId="2" applyNumberFormat="1" applyFont="1" applyBorder="1" applyAlignment="1">
      <alignment horizontal="right"/>
    </xf>
    <xf numFmtId="0" fontId="65" fillId="0" borderId="0" xfId="0" applyFont="1" applyAlignment="1">
      <alignment horizontal="left" indent="2"/>
    </xf>
    <xf numFmtId="0" fontId="84" fillId="0" borderId="0" xfId="0" applyFont="1"/>
    <xf numFmtId="3" fontId="65" fillId="0" borderId="0" xfId="0" applyNumberFormat="1" applyFont="1"/>
    <xf numFmtId="3" fontId="68" fillId="0" borderId="1" xfId="0" applyNumberFormat="1" applyFont="1" applyBorder="1"/>
    <xf numFmtId="167" fontId="66" fillId="0" borderId="0" xfId="2" applyNumberFormat="1" applyFont="1" applyBorder="1"/>
    <xf numFmtId="167" fontId="0" fillId="0" borderId="0" xfId="2" applyNumberFormat="1" applyFont="1" applyBorder="1"/>
    <xf numFmtId="168" fontId="83" fillId="0" borderId="0" xfId="0" applyNumberFormat="1" applyFont="1"/>
    <xf numFmtId="9" fontId="83" fillId="0" borderId="0" xfId="2" applyFont="1"/>
    <xf numFmtId="1" fontId="66" fillId="6" borderId="0" xfId="0" applyNumberFormat="1" applyFont="1" applyFill="1"/>
    <xf numFmtId="0" fontId="64" fillId="0" borderId="0" xfId="0" applyFont="1" applyAlignment="1">
      <alignment horizontal="left" indent="2"/>
    </xf>
    <xf numFmtId="0" fontId="64" fillId="0" borderId="0" xfId="0" applyFont="1" applyAlignment="1">
      <alignment horizontal="left" indent="3"/>
    </xf>
    <xf numFmtId="167" fontId="81" fillId="0" borderId="0" xfId="2" applyNumberFormat="1" applyFont="1"/>
    <xf numFmtId="0" fontId="63" fillId="0" borderId="0" xfId="0" applyFont="1"/>
    <xf numFmtId="3" fontId="67" fillId="0" borderId="0" xfId="0" applyNumberFormat="1" applyFont="1"/>
    <xf numFmtId="0" fontId="63" fillId="0" borderId="0" xfId="0" applyFont="1" applyAlignment="1">
      <alignment horizontal="right"/>
    </xf>
    <xf numFmtId="168" fontId="68" fillId="0" borderId="1" xfId="0" applyNumberFormat="1" applyFont="1" applyBorder="1"/>
    <xf numFmtId="168" fontId="68" fillId="0" borderId="5" xfId="0" applyNumberFormat="1" applyFont="1" applyBorder="1"/>
    <xf numFmtId="168" fontId="0" fillId="0" borderId="1" xfId="0" applyNumberFormat="1" applyBorder="1"/>
    <xf numFmtId="1" fontId="63" fillId="0" borderId="0" xfId="0" applyNumberFormat="1" applyFont="1"/>
    <xf numFmtId="1" fontId="63" fillId="0" borderId="2" xfId="0" applyNumberFormat="1" applyFont="1" applyBorder="1"/>
    <xf numFmtId="3" fontId="68" fillId="0" borderId="0" xfId="0" applyNumberFormat="1" applyFont="1"/>
    <xf numFmtId="0" fontId="63" fillId="0" borderId="0" xfId="0" applyFont="1" applyAlignment="1">
      <alignment horizontal="left"/>
    </xf>
    <xf numFmtId="0" fontId="92" fillId="0" borderId="12" xfId="0" applyFont="1" applyBorder="1"/>
    <xf numFmtId="0" fontId="92" fillId="0" borderId="12" xfId="0" applyFont="1" applyBorder="1" applyAlignment="1">
      <alignment horizontal="right"/>
    </xf>
    <xf numFmtId="170" fontId="93" fillId="5" borderId="0" xfId="0" applyNumberFormat="1" applyFont="1" applyFill="1"/>
    <xf numFmtId="3" fontId="93" fillId="5" borderId="0" xfId="0" applyNumberFormat="1" applyFont="1" applyFill="1" applyAlignment="1">
      <alignment horizontal="right"/>
    </xf>
    <xf numFmtId="3" fontId="93" fillId="0" borderId="0" xfId="0" applyNumberFormat="1" applyFont="1" applyAlignment="1">
      <alignment horizontal="right"/>
    </xf>
    <xf numFmtId="0" fontId="93" fillId="5" borderId="1" xfId="0" applyFont="1" applyFill="1" applyBorder="1"/>
    <xf numFmtId="10" fontId="93" fillId="5" borderId="1" xfId="2" applyNumberFormat="1" applyFont="1" applyFill="1" applyBorder="1"/>
    <xf numFmtId="0" fontId="93" fillId="0" borderId="1" xfId="0" applyFont="1" applyBorder="1"/>
    <xf numFmtId="0" fontId="63" fillId="0" borderId="0" xfId="0" applyFont="1" applyAlignment="1">
      <alignment horizontal="left" indent="1"/>
    </xf>
    <xf numFmtId="9" fontId="93" fillId="5" borderId="0" xfId="2" applyFont="1" applyFill="1" applyBorder="1"/>
    <xf numFmtId="9" fontId="93" fillId="0" borderId="0" xfId="2" applyFont="1" applyBorder="1"/>
    <xf numFmtId="168" fontId="93" fillId="0" borderId="1" xfId="0" applyNumberFormat="1" applyFont="1" applyBorder="1"/>
    <xf numFmtId="10" fontId="81" fillId="0" borderId="0" xfId="2" applyNumberFormat="1" applyFont="1"/>
    <xf numFmtId="1" fontId="93" fillId="5" borderId="0" xfId="0" applyNumberFormat="1" applyFont="1" applyFill="1"/>
    <xf numFmtId="0" fontId="62" fillId="0" borderId="0" xfId="0" applyFont="1" applyAlignment="1">
      <alignment horizontal="left" indent="2"/>
    </xf>
    <xf numFmtId="1" fontId="93" fillId="0" borderId="0" xfId="0" applyNumberFormat="1" applyFont="1"/>
    <xf numFmtId="9" fontId="81" fillId="0" borderId="0" xfId="2" applyFont="1"/>
    <xf numFmtId="9" fontId="81" fillId="0" borderId="2" xfId="2" applyFont="1" applyBorder="1"/>
    <xf numFmtId="0" fontId="66" fillId="0" borderId="1" xfId="0" applyFont="1" applyBorder="1" applyAlignment="1">
      <alignment horizontal="left" indent="1"/>
    </xf>
    <xf numFmtId="1" fontId="84" fillId="0" borderId="1" xfId="0" applyNumberFormat="1" applyFont="1" applyBorder="1"/>
    <xf numFmtId="0" fontId="84" fillId="0" borderId="1" xfId="0" applyFont="1" applyBorder="1"/>
    <xf numFmtId="0" fontId="67" fillId="0" borderId="0" xfId="0" applyFont="1"/>
    <xf numFmtId="9" fontId="84" fillId="0" borderId="0" xfId="2" applyFont="1"/>
    <xf numFmtId="1" fontId="83" fillId="3" borderId="0" xfId="0" applyNumberFormat="1" applyFont="1" applyFill="1"/>
    <xf numFmtId="168" fontId="83" fillId="3" borderId="0" xfId="0" applyNumberFormat="1" applyFont="1" applyFill="1"/>
    <xf numFmtId="9" fontId="93" fillId="0" borderId="0" xfId="2" applyFont="1" applyFill="1" applyBorder="1"/>
    <xf numFmtId="170" fontId="93" fillId="0" borderId="0" xfId="0" applyNumberFormat="1" applyFont="1"/>
    <xf numFmtId="168" fontId="93" fillId="0" borderId="0" xfId="0" applyNumberFormat="1" applyFont="1"/>
    <xf numFmtId="9" fontId="81" fillId="0" borderId="0" xfId="2" applyFont="1" applyBorder="1"/>
    <xf numFmtId="9" fontId="83" fillId="3" borderId="0" xfId="2" applyFont="1" applyFill="1"/>
    <xf numFmtId="9" fontId="81" fillId="0" borderId="0" xfId="2" applyFont="1" applyFill="1"/>
    <xf numFmtId="9" fontId="84" fillId="0" borderId="0" xfId="2" applyFont="1" applyFill="1"/>
    <xf numFmtId="168" fontId="84" fillId="0" borderId="0" xfId="0" applyNumberFormat="1" applyFont="1"/>
    <xf numFmtId="9" fontId="81" fillId="0" borderId="0" xfId="2" applyFont="1" applyFill="1" applyBorder="1"/>
    <xf numFmtId="10" fontId="81" fillId="0" borderId="0" xfId="2" applyNumberFormat="1" applyFont="1" applyFill="1"/>
    <xf numFmtId="9" fontId="83" fillId="7" borderId="0" xfId="0" applyNumberFormat="1" applyFont="1" applyFill="1"/>
    <xf numFmtId="9" fontId="81" fillId="0" borderId="4" xfId="2" applyFont="1" applyBorder="1"/>
    <xf numFmtId="168" fontId="84" fillId="7" borderId="0" xfId="0" applyNumberFormat="1" applyFont="1" applyFill="1"/>
    <xf numFmtId="1" fontId="60" fillId="0" borderId="0" xfId="0" applyNumberFormat="1" applyFont="1"/>
    <xf numFmtId="0" fontId="0" fillId="0" borderId="0" xfId="0" applyAlignment="1">
      <alignment horizontal="left" indent="1"/>
    </xf>
    <xf numFmtId="0" fontId="68" fillId="0" borderId="0" xfId="0" applyFont="1" applyAlignment="1">
      <alignment horizontal="left" indent="1"/>
    </xf>
    <xf numFmtId="4" fontId="67" fillId="7" borderId="0" xfId="0" applyNumberFormat="1" applyFont="1" applyFill="1"/>
    <xf numFmtId="170" fontId="67" fillId="3" borderId="0" xfId="0" applyNumberFormat="1" applyFont="1" applyFill="1"/>
    <xf numFmtId="167" fontId="81" fillId="0" borderId="0" xfId="2" applyNumberFormat="1" applyFont="1" applyBorder="1"/>
    <xf numFmtId="0" fontId="67" fillId="3" borderId="0" xfId="0" applyFont="1" applyFill="1"/>
    <xf numFmtId="1" fontId="67" fillId="3" borderId="0" xfId="0" applyNumberFormat="1" applyFont="1" applyFill="1"/>
    <xf numFmtId="167" fontId="84" fillId="0" borderId="0" xfId="0" applyNumberFormat="1" applyFont="1"/>
    <xf numFmtId="0" fontId="59" fillId="0" borderId="0" xfId="0" applyFont="1" applyAlignment="1">
      <alignment horizontal="left" indent="2"/>
    </xf>
    <xf numFmtId="167" fontId="81" fillId="0" borderId="0" xfId="2" applyNumberFormat="1" applyFont="1" applyFill="1"/>
    <xf numFmtId="9" fontId="84" fillId="0" borderId="0" xfId="2" applyFont="1" applyFill="1" applyBorder="1"/>
    <xf numFmtId="0" fontId="85" fillId="0" borderId="0" xfId="0" applyFont="1"/>
    <xf numFmtId="10" fontId="84" fillId="0" borderId="0" xfId="2" applyNumberFormat="1" applyFont="1" applyFill="1"/>
    <xf numFmtId="167" fontId="83" fillId="0" borderId="0" xfId="2" applyNumberFormat="1" applyFont="1" applyFill="1"/>
    <xf numFmtId="169" fontId="85" fillId="0" borderId="0" xfId="2" applyNumberFormat="1" applyFont="1"/>
    <xf numFmtId="10" fontId="83" fillId="0" borderId="0" xfId="2" applyNumberFormat="1" applyFont="1" applyFill="1"/>
    <xf numFmtId="1" fontId="81" fillId="0" borderId="0" xfId="0" applyNumberFormat="1" applyFont="1" applyAlignment="1">
      <alignment horizontal="left" indent="1"/>
    </xf>
    <xf numFmtId="167" fontId="81" fillId="0" borderId="0" xfId="0" applyNumberFormat="1" applyFont="1"/>
    <xf numFmtId="167" fontId="83" fillId="0" borderId="0" xfId="0" applyNumberFormat="1" applyFont="1"/>
    <xf numFmtId="10" fontId="0" fillId="0" borderId="0" xfId="2" applyNumberFormat="1" applyFont="1"/>
    <xf numFmtId="10" fontId="93" fillId="5" borderId="0" xfId="2" applyNumberFormat="1" applyFont="1" applyFill="1" applyBorder="1"/>
    <xf numFmtId="170" fontId="93" fillId="5" borderId="0" xfId="0" applyNumberFormat="1" applyFont="1" applyFill="1" applyAlignment="1">
      <alignment horizontal="right"/>
    </xf>
    <xf numFmtId="4" fontId="93" fillId="5" borderId="0" xfId="0" applyNumberFormat="1" applyFont="1" applyFill="1" applyAlignment="1">
      <alignment horizontal="right"/>
    </xf>
    <xf numFmtId="167" fontId="93" fillId="0" borderId="1" xfId="2" applyNumberFormat="1" applyFont="1" applyBorder="1"/>
    <xf numFmtId="0" fontId="92" fillId="0" borderId="12" xfId="0" applyFont="1" applyBorder="1" applyAlignment="1">
      <alignment horizontal="center"/>
    </xf>
    <xf numFmtId="167" fontId="93" fillId="5" borderId="0" xfId="2" applyNumberFormat="1" applyFont="1" applyFill="1" applyBorder="1"/>
    <xf numFmtId="9" fontId="0" fillId="0" borderId="0" xfId="2" applyFont="1"/>
    <xf numFmtId="167" fontId="0" fillId="0" borderId="0" xfId="2" applyNumberFormat="1" applyFont="1"/>
    <xf numFmtId="167" fontId="66" fillId="0" borderId="0" xfId="2" applyNumberFormat="1" applyFont="1"/>
    <xf numFmtId="0" fontId="81" fillId="0" borderId="1" xfId="0" applyFont="1" applyBorder="1" applyAlignment="1">
      <alignment horizontal="left" indent="3"/>
    </xf>
    <xf numFmtId="169" fontId="85" fillId="0" borderId="1" xfId="2" applyNumberFormat="1" applyFont="1" applyBorder="1"/>
    <xf numFmtId="0" fontId="80" fillId="0" borderId="1" xfId="0" applyFont="1" applyBorder="1" applyAlignment="1">
      <alignment horizontal="left" indent="1"/>
    </xf>
    <xf numFmtId="0" fontId="80" fillId="0" borderId="0" xfId="0" applyFont="1" applyAlignment="1">
      <alignment horizontal="left" indent="1"/>
    </xf>
    <xf numFmtId="0" fontId="0" fillId="0" borderId="0" xfId="0" applyAlignment="1">
      <alignment horizontal="left" indent="2"/>
    </xf>
    <xf numFmtId="0" fontId="0" fillId="0" borderId="0" xfId="0" applyAlignment="1">
      <alignment horizontal="left" indent="3"/>
    </xf>
    <xf numFmtId="2" fontId="81" fillId="0" borderId="0" xfId="0" applyNumberFormat="1" applyFont="1" applyAlignment="1">
      <alignment horizontal="left" indent="3"/>
    </xf>
    <xf numFmtId="168" fontId="81" fillId="0" borderId="0" xfId="0" applyNumberFormat="1" applyFont="1" applyAlignment="1">
      <alignment horizontal="left" indent="3"/>
    </xf>
    <xf numFmtId="168" fontId="85" fillId="0" borderId="0" xfId="2" applyNumberFormat="1" applyFont="1"/>
    <xf numFmtId="4" fontId="85" fillId="0" borderId="0" xfId="2" applyNumberFormat="1" applyFont="1"/>
    <xf numFmtId="0" fontId="81" fillId="0" borderId="0" xfId="0" applyFont="1" applyAlignment="1">
      <alignment horizontal="left" indent="4"/>
    </xf>
    <xf numFmtId="168" fontId="85" fillId="0" borderId="0" xfId="2" applyNumberFormat="1" applyFont="1" applyBorder="1"/>
    <xf numFmtId="4" fontId="67" fillId="3" borderId="0" xfId="2" applyNumberFormat="1" applyFont="1" applyFill="1"/>
    <xf numFmtId="173" fontId="83" fillId="0" borderId="0" xfId="1" applyNumberFormat="1" applyFont="1" applyFill="1" applyBorder="1" applyAlignment="1">
      <alignment horizontal="right" wrapText="1"/>
    </xf>
    <xf numFmtId="173" fontId="81" fillId="0" borderId="0" xfId="1" applyNumberFormat="1" applyFont="1" applyFill="1" applyBorder="1" applyAlignment="1">
      <alignment horizontal="right" wrapText="1"/>
    </xf>
    <xf numFmtId="168" fontId="85" fillId="0" borderId="0" xfId="0" applyNumberFormat="1" applyFont="1"/>
    <xf numFmtId="172" fontId="81" fillId="0" borderId="0" xfId="1" applyNumberFormat="1" applyFont="1" applyFill="1" applyBorder="1" applyAlignment="1">
      <alignment horizontal="right" wrapText="1"/>
    </xf>
    <xf numFmtId="172" fontId="83" fillId="3" borderId="0" xfId="1" applyNumberFormat="1" applyFont="1" applyFill="1" applyBorder="1" applyAlignment="1">
      <alignment horizontal="right" wrapText="1"/>
    </xf>
    <xf numFmtId="9" fontId="93" fillId="5" borderId="0" xfId="2" applyFont="1" applyFill="1"/>
    <xf numFmtId="9" fontId="93" fillId="0" borderId="0" xfId="2" applyFont="1"/>
    <xf numFmtId="168" fontId="58" fillId="0" borderId="0" xfId="0" applyNumberFormat="1" applyFont="1"/>
    <xf numFmtId="0" fontId="57" fillId="0" borderId="0" xfId="0" applyFont="1"/>
    <xf numFmtId="9" fontId="83" fillId="0" borderId="0" xfId="2" applyFont="1" applyFill="1"/>
    <xf numFmtId="167" fontId="84" fillId="0" borderId="0" xfId="2" applyNumberFormat="1" applyFont="1" applyBorder="1"/>
    <xf numFmtId="9" fontId="84" fillId="0" borderId="0" xfId="2" applyFont="1" applyBorder="1"/>
    <xf numFmtId="10" fontId="83" fillId="3" borderId="0" xfId="2" applyNumberFormat="1" applyFont="1" applyFill="1" applyBorder="1"/>
    <xf numFmtId="0" fontId="61" fillId="4" borderId="0" xfId="0" applyFont="1" applyFill="1" applyAlignment="1">
      <alignment horizontal="right"/>
    </xf>
    <xf numFmtId="9" fontId="83" fillId="0" borderId="0" xfId="2" applyFont="1" applyFill="1" applyBorder="1"/>
    <xf numFmtId="10" fontId="83" fillId="0" borderId="0" xfId="2" applyNumberFormat="1" applyFont="1" applyFill="1" applyBorder="1"/>
    <xf numFmtId="10" fontId="84" fillId="0" borderId="0" xfId="2" applyNumberFormat="1" applyFont="1" applyFill="1" applyBorder="1"/>
    <xf numFmtId="169" fontId="85" fillId="0" borderId="0" xfId="2" applyNumberFormat="1" applyFont="1" applyBorder="1"/>
    <xf numFmtId="0" fontId="83" fillId="3" borderId="0" xfId="0" applyFont="1" applyFill="1"/>
    <xf numFmtId="4" fontId="85" fillId="0" borderId="0" xfId="2" applyNumberFormat="1" applyFont="1" applyBorder="1"/>
    <xf numFmtId="4" fontId="67" fillId="3" borderId="0" xfId="2" applyNumberFormat="1" applyFont="1" applyFill="1" applyBorder="1"/>
    <xf numFmtId="167" fontId="83" fillId="0" borderId="0" xfId="2" applyNumberFormat="1" applyFont="1" applyBorder="1"/>
    <xf numFmtId="167" fontId="83" fillId="0" borderId="0" xfId="2" applyNumberFormat="1" applyFont="1" applyFill="1" applyBorder="1"/>
    <xf numFmtId="0" fontId="92" fillId="0" borderId="0" xfId="0" applyFont="1" applyAlignment="1">
      <alignment horizontal="right"/>
    </xf>
    <xf numFmtId="9" fontId="0" fillId="0" borderId="0" xfId="2" applyFont="1" applyBorder="1"/>
    <xf numFmtId="9" fontId="0" fillId="0" borderId="0" xfId="0" applyNumberFormat="1"/>
    <xf numFmtId="0" fontId="80" fillId="0" borderId="12" xfId="0" applyFont="1" applyBorder="1"/>
    <xf numFmtId="9" fontId="0" fillId="0" borderId="12" xfId="0" applyNumberFormat="1" applyBorder="1"/>
    <xf numFmtId="0" fontId="0" fillId="0" borderId="0" xfId="0" quotePrefix="1"/>
    <xf numFmtId="0" fontId="56" fillId="0" borderId="0" xfId="0" applyFont="1"/>
    <xf numFmtId="1" fontId="56" fillId="0" borderId="0" xfId="0" applyNumberFormat="1" applyFont="1"/>
    <xf numFmtId="0" fontId="56" fillId="0" borderId="0" xfId="0" applyFont="1" applyAlignment="1">
      <alignment horizontal="left" indent="1"/>
    </xf>
    <xf numFmtId="168" fontId="56" fillId="0" borderId="0" xfId="0" applyNumberFormat="1" applyFont="1"/>
    <xf numFmtId="167" fontId="84" fillId="0" borderId="0" xfId="2" applyNumberFormat="1" applyFont="1" applyFill="1"/>
    <xf numFmtId="1" fontId="85" fillId="0" borderId="0" xfId="2" applyNumberFormat="1" applyFont="1" applyBorder="1"/>
    <xf numFmtId="1" fontId="85" fillId="0" borderId="0" xfId="2" applyNumberFormat="1" applyFont="1"/>
    <xf numFmtId="167" fontId="67" fillId="0" borderId="0" xfId="2" applyNumberFormat="1" applyFont="1"/>
    <xf numFmtId="174" fontId="81" fillId="0" borderId="0" xfId="1" applyNumberFormat="1" applyFont="1" applyFill="1" applyBorder="1" applyAlignment="1">
      <alignment horizontal="right" wrapText="1"/>
    </xf>
    <xf numFmtId="174" fontId="83" fillId="0" borderId="0" xfId="13" applyNumberFormat="1" applyFont="1" applyFill="1" applyBorder="1" applyAlignment="1">
      <alignment horizontal="right" wrapText="1"/>
    </xf>
    <xf numFmtId="174" fontId="84" fillId="0" borderId="0" xfId="13" applyNumberFormat="1" applyFont="1" applyFill="1" applyBorder="1" applyAlignment="1">
      <alignment horizontal="right" wrapText="1"/>
    </xf>
    <xf numFmtId="175" fontId="81" fillId="0" borderId="0" xfId="1" applyNumberFormat="1" applyFont="1" applyFill="1" applyBorder="1" applyAlignment="1">
      <alignment horizontal="right" wrapText="1"/>
    </xf>
    <xf numFmtId="175" fontId="83" fillId="0" borderId="0" xfId="13" applyNumberFormat="1" applyFont="1" applyFill="1" applyBorder="1" applyAlignment="1">
      <alignment horizontal="right" wrapText="1"/>
    </xf>
    <xf numFmtId="175" fontId="84" fillId="0" borderId="0" xfId="13" applyNumberFormat="1" applyFont="1" applyFill="1" applyBorder="1" applyAlignment="1">
      <alignment horizontal="right" wrapText="1"/>
    </xf>
    <xf numFmtId="0" fontId="0" fillId="0" borderId="12" xfId="0" quotePrefix="1" applyBorder="1"/>
    <xf numFmtId="0" fontId="56" fillId="0" borderId="0" xfId="0" applyFont="1" applyAlignment="1">
      <alignment horizontal="right"/>
    </xf>
    <xf numFmtId="0" fontId="56" fillId="4" borderId="12" xfId="0" applyFont="1" applyFill="1" applyBorder="1" applyAlignment="1">
      <alignment horizontal="right"/>
    </xf>
    <xf numFmtId="9" fontId="56" fillId="0" borderId="1" xfId="2" applyFont="1" applyBorder="1" applyAlignment="1">
      <alignment horizontal="right"/>
    </xf>
    <xf numFmtId="9" fontId="56" fillId="0" borderId="0" xfId="2" applyFont="1" applyBorder="1" applyAlignment="1">
      <alignment horizontal="right"/>
    </xf>
    <xf numFmtId="9" fontId="56" fillId="0" borderId="0" xfId="0" applyNumberFormat="1" applyFont="1" applyAlignment="1">
      <alignment horizontal="right"/>
    </xf>
    <xf numFmtId="9" fontId="56" fillId="0" borderId="0" xfId="0" applyNumberFormat="1" applyFont="1"/>
    <xf numFmtId="9" fontId="56" fillId="6" borderId="0" xfId="2" applyFont="1" applyFill="1" applyBorder="1" applyAlignment="1">
      <alignment horizontal="right"/>
    </xf>
    <xf numFmtId="9" fontId="68" fillId="0" borderId="1" xfId="2" applyFont="1" applyBorder="1" applyAlignment="1">
      <alignment horizontal="right"/>
    </xf>
    <xf numFmtId="0" fontId="55" fillId="0" borderId="0" xfId="0" applyFont="1"/>
    <xf numFmtId="1" fontId="84" fillId="0" borderId="0" xfId="2" applyNumberFormat="1" applyFont="1" applyFill="1"/>
    <xf numFmtId="9" fontId="87" fillId="0" borderId="0" xfId="0" applyNumberFormat="1" applyFont="1"/>
    <xf numFmtId="176" fontId="67" fillId="0" borderId="0" xfId="13" applyNumberFormat="1" applyFont="1" applyBorder="1"/>
    <xf numFmtId="176" fontId="56" fillId="0" borderId="0" xfId="13" applyNumberFormat="1" applyFont="1"/>
    <xf numFmtId="0" fontId="97" fillId="0" borderId="0" xfId="0" applyFont="1"/>
    <xf numFmtId="167" fontId="85" fillId="0" borderId="0" xfId="2" applyNumberFormat="1" applyFont="1" applyBorder="1"/>
    <xf numFmtId="167" fontId="85" fillId="0" borderId="0" xfId="2" applyNumberFormat="1" applyFont="1"/>
    <xf numFmtId="4" fontId="67" fillId="0" borderId="0" xfId="0" applyNumberFormat="1" applyFont="1"/>
    <xf numFmtId="167" fontId="68" fillId="0" borderId="0" xfId="0" applyNumberFormat="1" applyFont="1"/>
    <xf numFmtId="9" fontId="85" fillId="0" borderId="0" xfId="2" applyFont="1"/>
    <xf numFmtId="167" fontId="87" fillId="0" borderId="0" xfId="0" applyNumberFormat="1" applyFont="1"/>
    <xf numFmtId="9" fontId="67" fillId="0" borderId="0" xfId="0" applyNumberFormat="1" applyFont="1"/>
    <xf numFmtId="170" fontId="54" fillId="0" borderId="0" xfId="0" applyNumberFormat="1" applyFont="1"/>
    <xf numFmtId="170" fontId="67" fillId="0" borderId="0" xfId="0" applyNumberFormat="1" applyFont="1"/>
    <xf numFmtId="168" fontId="66" fillId="0" borderId="0" xfId="0" applyNumberFormat="1" applyFont="1"/>
    <xf numFmtId="168" fontId="53" fillId="0" borderId="0" xfId="0" applyNumberFormat="1" applyFont="1" applyAlignment="1">
      <alignment horizontal="left" indent="3"/>
    </xf>
    <xf numFmtId="10" fontId="85" fillId="0" borderId="0" xfId="2" applyNumberFormat="1" applyFont="1" applyFill="1"/>
    <xf numFmtId="10" fontId="0" fillId="0" borderId="0" xfId="0" applyNumberFormat="1"/>
    <xf numFmtId="9" fontId="66" fillId="0" borderId="0" xfId="2" applyFont="1" applyBorder="1"/>
    <xf numFmtId="0" fontId="53" fillId="0" borderId="0" xfId="17"/>
    <xf numFmtId="0" fontId="78" fillId="0" borderId="0" xfId="0" applyFont="1"/>
    <xf numFmtId="2" fontId="83" fillId="0" borderId="0" xfId="2" applyNumberFormat="1" applyFont="1" applyFill="1"/>
    <xf numFmtId="2" fontId="84" fillId="0" borderId="0" xfId="2" applyNumberFormat="1" applyFont="1" applyFill="1"/>
    <xf numFmtId="4" fontId="67" fillId="0" borderId="0" xfId="2" applyNumberFormat="1" applyFont="1" applyFill="1"/>
    <xf numFmtId="4" fontId="67" fillId="0" borderId="0" xfId="2" applyNumberFormat="1" applyFont="1" applyFill="1" applyBorder="1"/>
    <xf numFmtId="4" fontId="85" fillId="3" borderId="0" xfId="2" applyNumberFormat="1" applyFont="1" applyFill="1"/>
    <xf numFmtId="4" fontId="85" fillId="3" borderId="0" xfId="2" applyNumberFormat="1" applyFont="1" applyFill="1" applyBorder="1"/>
    <xf numFmtId="2" fontId="67" fillId="3" borderId="0" xfId="0" applyNumberFormat="1" applyFont="1" applyFill="1"/>
    <xf numFmtId="10" fontId="102" fillId="0" borderId="0" xfId="0" applyNumberFormat="1" applyFont="1"/>
    <xf numFmtId="9" fontId="103" fillId="0" borderId="0" xfId="0" applyNumberFormat="1" applyFont="1"/>
    <xf numFmtId="10" fontId="80" fillId="0" borderId="0" xfId="0" applyNumberFormat="1" applyFont="1"/>
    <xf numFmtId="10" fontId="80" fillId="0" borderId="2" xfId="0" applyNumberFormat="1" applyFont="1" applyBorder="1"/>
    <xf numFmtId="167" fontId="0" fillId="0" borderId="2" xfId="2" applyNumberFormat="1" applyFont="1" applyBorder="1"/>
    <xf numFmtId="167" fontId="0" fillId="0" borderId="1" xfId="2" applyNumberFormat="1" applyFont="1" applyBorder="1"/>
    <xf numFmtId="167" fontId="0" fillId="0" borderId="5" xfId="2" applyNumberFormat="1" applyFont="1" applyBorder="1"/>
    <xf numFmtId="10" fontId="80" fillId="0" borderId="20" xfId="0" applyNumberFormat="1" applyFont="1" applyBorder="1"/>
    <xf numFmtId="167" fontId="0" fillId="0" borderId="20" xfId="2" applyNumberFormat="1" applyFont="1" applyBorder="1"/>
    <xf numFmtId="167" fontId="0" fillId="0" borderId="21" xfId="2" applyNumberFormat="1" applyFont="1" applyBorder="1"/>
    <xf numFmtId="0" fontId="66" fillId="0" borderId="12" xfId="0" applyFont="1" applyBorder="1"/>
    <xf numFmtId="0" fontId="92" fillId="0" borderId="17" xfId="0" applyFont="1" applyBorder="1"/>
    <xf numFmtId="0" fontId="52" fillId="0" borderId="0" xfId="0" applyFont="1" applyAlignment="1">
      <alignment horizontal="left" indent="1"/>
    </xf>
    <xf numFmtId="2" fontId="52" fillId="0" borderId="0" xfId="0" applyNumberFormat="1" applyFont="1"/>
    <xf numFmtId="3" fontId="67" fillId="3" borderId="0" xfId="2" applyNumberFormat="1" applyFont="1" applyFill="1" applyBorder="1"/>
    <xf numFmtId="1" fontId="85" fillId="3" borderId="0" xfId="2" applyNumberFormat="1" applyFont="1" applyFill="1" applyBorder="1"/>
    <xf numFmtId="1" fontId="67" fillId="0" borderId="0" xfId="2" applyNumberFormat="1" applyFont="1" applyBorder="1"/>
    <xf numFmtId="172" fontId="83" fillId="0" borderId="0" xfId="1" applyNumberFormat="1" applyFont="1" applyFill="1" applyBorder="1" applyAlignment="1">
      <alignment horizontal="right" wrapText="1"/>
    </xf>
    <xf numFmtId="3" fontId="0" fillId="5" borderId="0" xfId="0" applyNumberFormat="1" applyFill="1"/>
    <xf numFmtId="9" fontId="93" fillId="0" borderId="0" xfId="0" applyNumberFormat="1" applyFont="1"/>
    <xf numFmtId="3" fontId="93" fillId="0" borderId="12" xfId="0" applyNumberFormat="1" applyFont="1" applyBorder="1"/>
    <xf numFmtId="9" fontId="93" fillId="0" borderId="12" xfId="0" applyNumberFormat="1" applyFont="1" applyBorder="1"/>
    <xf numFmtId="0" fontId="51" fillId="0" borderId="0" xfId="0" applyFont="1" applyAlignment="1">
      <alignment horizontal="left" indent="1"/>
    </xf>
    <xf numFmtId="167" fontId="67" fillId="7" borderId="0" xfId="2" applyNumberFormat="1" applyFont="1" applyFill="1"/>
    <xf numFmtId="177" fontId="67" fillId="5" borderId="0" xfId="0" applyNumberFormat="1" applyFont="1" applyFill="1"/>
    <xf numFmtId="167" fontId="67" fillId="0" borderId="0" xfId="2" applyNumberFormat="1" applyFont="1" applyFill="1"/>
    <xf numFmtId="167" fontId="50" fillId="7" borderId="0" xfId="2" applyNumberFormat="1" applyFont="1" applyFill="1"/>
    <xf numFmtId="177" fontId="50" fillId="5" borderId="0" xfId="0" applyNumberFormat="1" applyFont="1" applyFill="1"/>
    <xf numFmtId="167" fontId="50" fillId="0" borderId="0" xfId="2" applyNumberFormat="1" applyFont="1" applyFill="1"/>
    <xf numFmtId="10" fontId="104" fillId="0" borderId="0" xfId="2" applyNumberFormat="1" applyFont="1"/>
    <xf numFmtId="0" fontId="82" fillId="0" borderId="12" xfId="17" applyFont="1" applyBorder="1"/>
    <xf numFmtId="0" fontId="82" fillId="0" borderId="12" xfId="17" applyFont="1" applyBorder="1" applyAlignment="1">
      <alignment horizontal="right"/>
    </xf>
    <xf numFmtId="0" fontId="81" fillId="5" borderId="0" xfId="17" applyFont="1" applyFill="1"/>
    <xf numFmtId="167" fontId="81" fillId="5" borderId="0" xfId="2" applyNumberFormat="1" applyFont="1" applyFill="1"/>
    <xf numFmtId="0" fontId="81" fillId="7" borderId="0" xfId="17" applyFont="1" applyFill="1"/>
    <xf numFmtId="0" fontId="81" fillId="0" borderId="0" xfId="17" applyFont="1"/>
    <xf numFmtId="9" fontId="50" fillId="5" borderId="0" xfId="2" applyFont="1" applyFill="1"/>
    <xf numFmtId="9" fontId="50" fillId="0" borderId="0" xfId="2" applyFont="1"/>
    <xf numFmtId="0" fontId="50" fillId="0" borderId="0" xfId="0" applyFont="1"/>
    <xf numFmtId="0" fontId="78" fillId="0" borderId="0" xfId="0" applyFont="1" applyAlignment="1">
      <alignment horizontal="left" indent="1"/>
    </xf>
    <xf numFmtId="3" fontId="50" fillId="0" borderId="0" xfId="0" applyNumberFormat="1" applyFont="1"/>
    <xf numFmtId="9" fontId="67" fillId="5" borderId="0" xfId="2" applyFont="1" applyFill="1"/>
    <xf numFmtId="10" fontId="50" fillId="0" borderId="0" xfId="2" applyNumberFormat="1" applyFont="1"/>
    <xf numFmtId="0" fontId="80" fillId="0" borderId="0" xfId="0" applyFont="1" applyAlignment="1">
      <alignment horizontal="right"/>
    </xf>
    <xf numFmtId="0" fontId="80" fillId="0" borderId="12" xfId="0" applyFont="1" applyBorder="1" applyAlignment="1">
      <alignment horizontal="right"/>
    </xf>
    <xf numFmtId="9" fontId="66" fillId="0" borderId="0" xfId="0" applyNumberFormat="1" applyFont="1"/>
    <xf numFmtId="0" fontId="93" fillId="0" borderId="0" xfId="0" applyFont="1" applyAlignment="1">
      <alignment vertical="center" wrapText="1"/>
    </xf>
    <xf numFmtId="0" fontId="92" fillId="0" borderId="0" xfId="0" applyFont="1" applyAlignment="1">
      <alignment vertical="center" wrapText="1"/>
    </xf>
    <xf numFmtId="3" fontId="92" fillId="0" borderId="0" xfId="0" applyNumberFormat="1" applyFont="1" applyAlignment="1">
      <alignment wrapText="1"/>
    </xf>
    <xf numFmtId="3" fontId="93" fillId="0" borderId="0" xfId="0" applyNumberFormat="1" applyFont="1" applyAlignment="1">
      <alignment wrapText="1"/>
    </xf>
    <xf numFmtId="0" fontId="92" fillId="0" borderId="12" xfId="0" applyFont="1" applyBorder="1" applyAlignment="1">
      <alignment vertical="center" wrapText="1"/>
    </xf>
    <xf numFmtId="3" fontId="92" fillId="0" borderId="12" xfId="0" applyNumberFormat="1" applyFont="1" applyBorder="1" applyAlignment="1">
      <alignment wrapText="1"/>
    </xf>
    <xf numFmtId="0" fontId="93" fillId="0" borderId="12" xfId="0" applyFont="1" applyBorder="1" applyAlignment="1">
      <alignment vertical="center" wrapText="1"/>
    </xf>
    <xf numFmtId="1" fontId="66" fillId="0" borderId="12" xfId="0" applyNumberFormat="1" applyFont="1" applyBorder="1"/>
    <xf numFmtId="167" fontId="66" fillId="0" borderId="0" xfId="0" applyNumberFormat="1" applyFont="1"/>
    <xf numFmtId="1" fontId="49" fillId="0" borderId="0" xfId="0" applyNumberFormat="1" applyFont="1"/>
    <xf numFmtId="1" fontId="82" fillId="0" borderId="0" xfId="0" applyNumberFormat="1" applyFont="1" applyAlignment="1">
      <alignment horizontal="left" indent="1"/>
    </xf>
    <xf numFmtId="167" fontId="68" fillId="3" borderId="0" xfId="0" applyNumberFormat="1" applyFont="1" applyFill="1"/>
    <xf numFmtId="2" fontId="0" fillId="0" borderId="0" xfId="0" applyNumberFormat="1"/>
    <xf numFmtId="0" fontId="80" fillId="3" borderId="12" xfId="0" applyFont="1" applyFill="1" applyBorder="1"/>
    <xf numFmtId="168" fontId="0" fillId="3" borderId="0" xfId="0" applyNumberFormat="1" applyFill="1"/>
    <xf numFmtId="168" fontId="0" fillId="3" borderId="12" xfId="0" applyNumberFormat="1" applyFill="1" applyBorder="1"/>
    <xf numFmtId="9" fontId="0" fillId="3" borderId="0" xfId="0" applyNumberFormat="1" applyFill="1"/>
    <xf numFmtId="0" fontId="0" fillId="3" borderId="0" xfId="0" applyFill="1"/>
    <xf numFmtId="9" fontId="0" fillId="3" borderId="12" xfId="0" applyNumberFormat="1" applyFill="1" applyBorder="1"/>
    <xf numFmtId="1" fontId="0" fillId="3" borderId="0" xfId="0" applyNumberFormat="1" applyFill="1"/>
    <xf numFmtId="2" fontId="0" fillId="3" borderId="0" xfId="0" applyNumberFormat="1" applyFill="1"/>
    <xf numFmtId="3" fontId="0" fillId="3" borderId="0" xfId="0" applyNumberFormat="1" applyFill="1"/>
    <xf numFmtId="3" fontId="0" fillId="3" borderId="12" xfId="0" applyNumberFormat="1" applyFill="1" applyBorder="1"/>
    <xf numFmtId="0" fontId="80" fillId="3" borderId="0" xfId="0" applyFont="1" applyFill="1"/>
    <xf numFmtId="3" fontId="80" fillId="3" borderId="0" xfId="0" applyNumberFormat="1" applyFont="1" applyFill="1"/>
    <xf numFmtId="167" fontId="0" fillId="0" borderId="0" xfId="0" applyNumberFormat="1"/>
    <xf numFmtId="167" fontId="49" fillId="0" borderId="0" xfId="2" applyNumberFormat="1" applyFont="1" applyBorder="1"/>
    <xf numFmtId="0" fontId="0" fillId="0" borderId="8" xfId="0" applyBorder="1"/>
    <xf numFmtId="1" fontId="66" fillId="0" borderId="8" xfId="0" applyNumberFormat="1" applyFont="1" applyBorder="1"/>
    <xf numFmtId="3" fontId="66" fillId="0" borderId="8" xfId="0" applyNumberFormat="1" applyFont="1" applyBorder="1"/>
    <xf numFmtId="3" fontId="66" fillId="6" borderId="8" xfId="0" applyNumberFormat="1" applyFont="1" applyFill="1" applyBorder="1"/>
    <xf numFmtId="167" fontId="80" fillId="0" borderId="0" xfId="0" applyNumberFormat="1" applyFont="1"/>
    <xf numFmtId="167" fontId="66" fillId="0" borderId="12" xfId="0" applyNumberFormat="1" applyFont="1" applyBorder="1"/>
    <xf numFmtId="0" fontId="92" fillId="0" borderId="22" xfId="0" applyFont="1" applyBorder="1"/>
    <xf numFmtId="0" fontId="48" fillId="0" borderId="0" xfId="0" applyFont="1" applyAlignment="1">
      <alignment horizontal="left" indent="1"/>
    </xf>
    <xf numFmtId="0" fontId="92" fillId="5" borderId="0" xfId="0" applyFont="1" applyFill="1"/>
    <xf numFmtId="167" fontId="93" fillId="0" borderId="0" xfId="0" applyNumberFormat="1" applyFont="1"/>
    <xf numFmtId="9" fontId="93" fillId="5" borderId="0" xfId="0" applyNumberFormat="1" applyFont="1" applyFill="1"/>
    <xf numFmtId="0" fontId="93" fillId="5" borderId="12" xfId="0" applyFont="1" applyFill="1" applyBorder="1"/>
    <xf numFmtId="0" fontId="92" fillId="0" borderId="12" xfId="0" applyFont="1" applyBorder="1" applyAlignment="1">
      <alignment horizontal="left"/>
    </xf>
    <xf numFmtId="9" fontId="81" fillId="0" borderId="0" xfId="0" applyNumberFormat="1" applyFont="1" applyAlignment="1">
      <alignment horizontal="left" indent="3"/>
    </xf>
    <xf numFmtId="9" fontId="85" fillId="0" borderId="0" xfId="2" applyFont="1" applyBorder="1"/>
    <xf numFmtId="0" fontId="92" fillId="5" borderId="12" xfId="0" applyFont="1" applyFill="1" applyBorder="1"/>
    <xf numFmtId="0" fontId="73" fillId="0" borderId="0" xfId="3" applyFont="1" applyAlignment="1">
      <alignment horizontal="right"/>
    </xf>
    <xf numFmtId="0" fontId="106" fillId="0" borderId="0" xfId="0" applyFont="1" applyAlignment="1">
      <alignment horizontal="left"/>
    </xf>
    <xf numFmtId="1" fontId="107" fillId="0" borderId="0" xfId="0" applyNumberFormat="1" applyFont="1"/>
    <xf numFmtId="3" fontId="80" fillId="0" borderId="12" xfId="0" applyNumberFormat="1" applyFont="1" applyBorder="1"/>
    <xf numFmtId="1" fontId="80" fillId="0" borderId="12" xfId="0" applyNumberFormat="1" applyFont="1" applyBorder="1"/>
    <xf numFmtId="3" fontId="0" fillId="5" borderId="0" xfId="0" applyNumberFormat="1" applyFill="1" applyAlignment="1">
      <alignment vertical="center"/>
    </xf>
    <xf numFmtId="3" fontId="0" fillId="0" borderId="0" xfId="0" applyNumberFormat="1" applyAlignment="1">
      <alignment vertical="center"/>
    </xf>
    <xf numFmtId="9" fontId="90" fillId="5" borderId="0" xfId="2" applyFont="1" applyFill="1"/>
    <xf numFmtId="0" fontId="101" fillId="0" borderId="0" xfId="0" applyFont="1"/>
    <xf numFmtId="3" fontId="92" fillId="5" borderId="0" xfId="0" applyNumberFormat="1" applyFont="1" applyFill="1"/>
    <xf numFmtId="0" fontId="93" fillId="5" borderId="0" xfId="0" quotePrefix="1" applyFont="1" applyFill="1"/>
    <xf numFmtId="0" fontId="93" fillId="0" borderId="0" xfId="0" quotePrefix="1" applyFont="1"/>
    <xf numFmtId="0" fontId="93" fillId="0" borderId="0" xfId="0" quotePrefix="1" applyFont="1" applyAlignment="1">
      <alignment horizontal="left" indent="1"/>
    </xf>
    <xf numFmtId="9" fontId="93" fillId="0" borderId="0" xfId="2" applyFont="1" applyFill="1"/>
    <xf numFmtId="9" fontId="93" fillId="5" borderId="12" xfId="2" applyFont="1" applyFill="1" applyBorder="1"/>
    <xf numFmtId="167" fontId="93" fillId="0" borderId="0" xfId="2" applyNumberFormat="1" applyFont="1" applyFill="1"/>
    <xf numFmtId="9" fontId="82" fillId="0" borderId="0" xfId="0" applyNumberFormat="1" applyFont="1"/>
    <xf numFmtId="0" fontId="47" fillId="0" borderId="0" xfId="0" applyFont="1" applyAlignment="1">
      <alignment horizontal="right"/>
    </xf>
    <xf numFmtId="167" fontId="93" fillId="0" borderId="0" xfId="2" applyNumberFormat="1" applyFont="1" applyBorder="1"/>
    <xf numFmtId="9" fontId="93" fillId="0" borderId="0" xfId="2" applyFont="1" applyBorder="1" applyAlignment="1">
      <alignment horizontal="right"/>
    </xf>
    <xf numFmtId="167" fontId="93" fillId="0" borderId="0" xfId="2" applyNumberFormat="1" applyFont="1" applyBorder="1" applyAlignment="1">
      <alignment horizontal="right"/>
    </xf>
    <xf numFmtId="0" fontId="93" fillId="5" borderId="0" xfId="0" applyFont="1" applyFill="1" applyAlignment="1">
      <alignment horizontal="left" indent="1"/>
    </xf>
    <xf numFmtId="0" fontId="93" fillId="0" borderId="0" xfId="2" applyNumberFormat="1" applyFont="1" applyBorder="1"/>
    <xf numFmtId="0" fontId="93" fillId="0" borderId="0" xfId="2" applyNumberFormat="1" applyFont="1" applyBorder="1" applyAlignment="1">
      <alignment horizontal="right"/>
    </xf>
    <xf numFmtId="0" fontId="0" fillId="0" borderId="0" xfId="2" applyNumberFormat="1" applyFont="1" applyBorder="1"/>
    <xf numFmtId="0" fontId="90" fillId="0" borderId="0" xfId="6" applyFont="1"/>
    <xf numFmtId="179" fontId="90" fillId="0" borderId="0" xfId="6" applyNumberFormat="1" applyFont="1"/>
    <xf numFmtId="168" fontId="67" fillId="0" borderId="0" xfId="0" applyNumberFormat="1" applyFont="1"/>
    <xf numFmtId="167" fontId="93" fillId="0" borderId="0" xfId="2" applyNumberFormat="1" applyFont="1"/>
    <xf numFmtId="0" fontId="93" fillId="5" borderId="12" xfId="0" quotePrefix="1" applyFont="1" applyFill="1" applyBorder="1"/>
    <xf numFmtId="9" fontId="83" fillId="3" borderId="0" xfId="2" applyFont="1" applyFill="1" applyBorder="1"/>
    <xf numFmtId="1" fontId="0" fillId="0" borderId="12" xfId="0" applyNumberFormat="1" applyBorder="1"/>
    <xf numFmtId="0" fontId="96" fillId="0" borderId="0" xfId="0" applyFont="1"/>
    <xf numFmtId="0" fontId="81" fillId="0" borderId="12" xfId="0" applyFont="1" applyBorder="1"/>
    <xf numFmtId="0" fontId="50" fillId="0" borderId="12" xfId="0" applyFont="1" applyBorder="1"/>
    <xf numFmtId="0" fontId="46" fillId="0" borderId="0" xfId="0" applyFont="1"/>
    <xf numFmtId="0" fontId="46" fillId="0" borderId="0" xfId="0" applyFont="1" applyAlignment="1">
      <alignment horizontal="right"/>
    </xf>
    <xf numFmtId="9" fontId="50" fillId="0" borderId="0" xfId="0" applyNumberFormat="1" applyFont="1"/>
    <xf numFmtId="9" fontId="50" fillId="0" borderId="12" xfId="0" applyNumberFormat="1" applyFont="1" applyBorder="1"/>
    <xf numFmtId="167" fontId="50" fillId="0" borderId="0" xfId="0" applyNumberFormat="1" applyFont="1"/>
    <xf numFmtId="0" fontId="108" fillId="0" borderId="0" xfId="0" applyFont="1"/>
    <xf numFmtId="0" fontId="0" fillId="7" borderId="0" xfId="0" applyFill="1"/>
    <xf numFmtId="0" fontId="0" fillId="6" borderId="0" xfId="0" applyFill="1"/>
    <xf numFmtId="3" fontId="92" fillId="0" borderId="0" xfId="0" applyNumberFormat="1" applyFont="1"/>
    <xf numFmtId="14" fontId="0" fillId="0" borderId="0" xfId="0" applyNumberFormat="1"/>
    <xf numFmtId="0" fontId="106" fillId="0" borderId="0" xfId="0" applyFont="1"/>
    <xf numFmtId="9" fontId="106" fillId="0" borderId="0" xfId="0" applyNumberFormat="1" applyFont="1"/>
    <xf numFmtId="9" fontId="110" fillId="0" borderId="0" xfId="0" applyNumberFormat="1" applyFont="1"/>
    <xf numFmtId="167" fontId="107" fillId="0" borderId="0" xfId="2" applyNumberFormat="1" applyFont="1"/>
    <xf numFmtId="168" fontId="93" fillId="5" borderId="0" xfId="0" applyNumberFormat="1" applyFont="1" applyFill="1"/>
    <xf numFmtId="168" fontId="93" fillId="0" borderId="12" xfId="0" applyNumberFormat="1" applyFont="1" applyBorder="1"/>
    <xf numFmtId="2" fontId="93" fillId="5" borderId="0" xfId="0" applyNumberFormat="1" applyFont="1" applyFill="1"/>
    <xf numFmtId="0" fontId="100" fillId="5" borderId="0" xfId="0" applyFont="1" applyFill="1"/>
    <xf numFmtId="0" fontId="93" fillId="0" borderId="12" xfId="0" quotePrefix="1" applyFont="1" applyBorder="1"/>
    <xf numFmtId="0" fontId="93" fillId="5" borderId="0" xfId="0" quotePrefix="1" applyFont="1" applyFill="1" applyAlignment="1">
      <alignment horizontal="left" indent="2"/>
    </xf>
    <xf numFmtId="0" fontId="93" fillId="5" borderId="12" xfId="0" quotePrefix="1" applyFont="1" applyFill="1" applyBorder="1" applyAlignment="1">
      <alignment horizontal="left" indent="2"/>
    </xf>
    <xf numFmtId="3" fontId="93" fillId="5" borderId="12" xfId="0" applyNumberFormat="1" applyFont="1" applyFill="1" applyBorder="1"/>
    <xf numFmtId="0" fontId="100" fillId="5" borderId="0" xfId="0" applyFont="1" applyFill="1" applyAlignment="1">
      <alignment horizontal="left" indent="1"/>
    </xf>
    <xf numFmtId="0" fontId="100" fillId="0" borderId="0" xfId="0" applyFont="1"/>
    <xf numFmtId="0" fontId="93" fillId="0" borderId="0" xfId="0" applyFont="1" applyAlignment="1">
      <alignment horizontal="left" indent="1"/>
    </xf>
    <xf numFmtId="0" fontId="100" fillId="0" borderId="0" xfId="0" applyFont="1" applyAlignment="1">
      <alignment horizontal="left" indent="1"/>
    </xf>
    <xf numFmtId="0" fontId="93" fillId="5" borderId="0" xfId="0" quotePrefix="1" applyFont="1" applyFill="1" applyAlignment="1">
      <alignment horizontal="left" indent="1"/>
    </xf>
    <xf numFmtId="0" fontId="93" fillId="7" borderId="0" xfId="0" applyFont="1" applyFill="1"/>
    <xf numFmtId="168" fontId="93" fillId="7" borderId="0" xfId="0" applyNumberFormat="1" applyFont="1" applyFill="1"/>
    <xf numFmtId="3" fontId="93" fillId="5" borderId="0" xfId="2" applyNumberFormat="1" applyFont="1" applyFill="1"/>
    <xf numFmtId="0" fontId="93" fillId="0" borderId="12" xfId="0" applyFont="1" applyBorder="1" applyAlignment="1">
      <alignment horizontal="left"/>
    </xf>
    <xf numFmtId="0" fontId="93" fillId="5" borderId="0" xfId="0" quotePrefix="1" applyFont="1" applyFill="1" applyAlignment="1">
      <alignment horizontal="left"/>
    </xf>
    <xf numFmtId="0" fontId="93" fillId="0" borderId="0" xfId="0" quotePrefix="1" applyFont="1" applyAlignment="1">
      <alignment horizontal="left"/>
    </xf>
    <xf numFmtId="3" fontId="93" fillId="0" borderId="0" xfId="2" applyNumberFormat="1" applyFont="1" applyFill="1"/>
    <xf numFmtId="3" fontId="93" fillId="0" borderId="22" xfId="0" applyNumberFormat="1" applyFont="1" applyBorder="1"/>
    <xf numFmtId="3" fontId="93" fillId="0" borderId="18" xfId="0" applyNumberFormat="1" applyFont="1" applyBorder="1"/>
    <xf numFmtId="0" fontId="81" fillId="0" borderId="0" xfId="0" applyFont="1" applyAlignment="1">
      <alignment horizontal="left" indent="5"/>
    </xf>
    <xf numFmtId="0" fontId="111" fillId="0" borderId="0" xfId="0" applyFont="1"/>
    <xf numFmtId="0" fontId="106" fillId="0" borderId="0" xfId="0" applyFont="1" applyAlignment="1">
      <alignment horizontal="left" indent="1"/>
    </xf>
    <xf numFmtId="0" fontId="45" fillId="0" borderId="0" xfId="0" quotePrefix="1" applyFont="1" applyAlignment="1">
      <alignment horizontal="left" indent="2"/>
    </xf>
    <xf numFmtId="0" fontId="93" fillId="0" borderId="0" xfId="0" applyFont="1" applyAlignment="1">
      <alignment horizontal="left"/>
    </xf>
    <xf numFmtId="1" fontId="93" fillId="0" borderId="0" xfId="2" applyNumberFormat="1" applyFont="1" applyFill="1"/>
    <xf numFmtId="0" fontId="93" fillId="5" borderId="12" xfId="0" quotePrefix="1" applyFont="1" applyFill="1" applyBorder="1" applyAlignment="1">
      <alignment horizontal="left" indent="1"/>
    </xf>
    <xf numFmtId="1" fontId="93" fillId="5" borderId="12" xfId="0" applyNumberFormat="1" applyFont="1" applyFill="1" applyBorder="1"/>
    <xf numFmtId="0" fontId="92" fillId="7" borderId="0" xfId="0" applyFont="1" applyFill="1"/>
    <xf numFmtId="3" fontId="93" fillId="5" borderId="12" xfId="2" applyNumberFormat="1" applyFont="1" applyFill="1" applyBorder="1"/>
    <xf numFmtId="3" fontId="92" fillId="0" borderId="8" xfId="0" applyNumberFormat="1" applyFont="1" applyBorder="1"/>
    <xf numFmtId="3" fontId="93" fillId="5" borderId="21" xfId="0" applyNumberFormat="1" applyFont="1" applyFill="1" applyBorder="1"/>
    <xf numFmtId="3" fontId="93" fillId="5" borderId="5" xfId="0" applyNumberFormat="1" applyFont="1" applyFill="1" applyBorder="1"/>
    <xf numFmtId="9" fontId="93" fillId="0" borderId="19" xfId="2" applyFont="1" applyFill="1" applyBorder="1"/>
    <xf numFmtId="9" fontId="93" fillId="0" borderId="4" xfId="2" applyFont="1" applyFill="1" applyBorder="1"/>
    <xf numFmtId="3" fontId="92" fillId="0" borderId="24" xfId="0" applyNumberFormat="1" applyFont="1" applyBorder="1"/>
    <xf numFmtId="0" fontId="0" fillId="5" borderId="0" xfId="0" applyFill="1"/>
    <xf numFmtId="0" fontId="92" fillId="5" borderId="8" xfId="0" applyFont="1" applyFill="1" applyBorder="1"/>
    <xf numFmtId="3" fontId="92" fillId="5" borderId="8" xfId="0" applyNumberFormat="1" applyFont="1" applyFill="1" applyBorder="1"/>
    <xf numFmtId="1" fontId="92" fillId="5" borderId="0" xfId="0" applyNumberFormat="1" applyFont="1" applyFill="1"/>
    <xf numFmtId="0" fontId="92" fillId="5" borderId="22" xfId="0" applyFont="1" applyFill="1" applyBorder="1"/>
    <xf numFmtId="0" fontId="92" fillId="5" borderId="17" xfId="0" applyFont="1" applyFill="1" applyBorder="1"/>
    <xf numFmtId="3" fontId="92" fillId="5" borderId="18" xfId="0" applyNumberFormat="1" applyFont="1" applyFill="1" applyBorder="1"/>
    <xf numFmtId="1" fontId="92" fillId="0" borderId="18" xfId="0" applyNumberFormat="1" applyFont="1" applyBorder="1"/>
    <xf numFmtId="4" fontId="44" fillId="0" borderId="0" xfId="0" applyNumberFormat="1" applyFont="1"/>
    <xf numFmtId="0" fontId="81" fillId="0" borderId="12" xfId="0" applyFont="1" applyBorder="1" applyAlignment="1">
      <alignment horizontal="left" indent="3"/>
    </xf>
    <xf numFmtId="0" fontId="67" fillId="0" borderId="12" xfId="0" applyFont="1" applyBorder="1"/>
    <xf numFmtId="9" fontId="81" fillId="0" borderId="12" xfId="2" applyFont="1" applyFill="1" applyBorder="1"/>
    <xf numFmtId="167" fontId="83" fillId="0" borderId="12" xfId="2" applyNumberFormat="1" applyFont="1" applyFill="1" applyBorder="1"/>
    <xf numFmtId="10" fontId="81" fillId="0" borderId="12" xfId="2" applyNumberFormat="1" applyFont="1" applyFill="1" applyBorder="1"/>
    <xf numFmtId="0" fontId="66" fillId="4" borderId="12" xfId="0" applyFont="1" applyFill="1" applyBorder="1"/>
    <xf numFmtId="2" fontId="68" fillId="0" borderId="0" xfId="0" applyNumberFormat="1" applyFont="1"/>
    <xf numFmtId="1" fontId="43" fillId="0" borderId="0" xfId="0" applyNumberFormat="1" applyFont="1"/>
    <xf numFmtId="0" fontId="109" fillId="0" borderId="0" xfId="0" applyFont="1"/>
    <xf numFmtId="9" fontId="56" fillId="0" borderId="0" xfId="2" applyFont="1" applyFill="1" applyBorder="1" applyAlignment="1">
      <alignment horizontal="right"/>
    </xf>
    <xf numFmtId="167" fontId="113" fillId="0" borderId="0" xfId="2" applyNumberFormat="1" applyFont="1"/>
    <xf numFmtId="2" fontId="67" fillId="0" borderId="0" xfId="0" applyNumberFormat="1" applyFont="1"/>
    <xf numFmtId="0" fontId="42" fillId="0" borderId="0" xfId="0" applyFont="1" applyAlignment="1">
      <alignment horizontal="right"/>
    </xf>
    <xf numFmtId="3" fontId="67" fillId="6" borderId="8" xfId="0" applyNumberFormat="1" applyFont="1" applyFill="1" applyBorder="1"/>
    <xf numFmtId="3" fontId="105" fillId="0" borderId="0" xfId="0" applyNumberFormat="1" applyFont="1"/>
    <xf numFmtId="3" fontId="105" fillId="0" borderId="12" xfId="0" applyNumberFormat="1" applyFont="1" applyBorder="1"/>
    <xf numFmtId="168" fontId="105" fillId="0" borderId="0" xfId="0" applyNumberFormat="1" applyFont="1"/>
    <xf numFmtId="167" fontId="67" fillId="0" borderId="0" xfId="0" applyNumberFormat="1" applyFont="1"/>
    <xf numFmtId="1" fontId="114" fillId="0" borderId="0" xfId="0" applyNumberFormat="1" applyFont="1"/>
    <xf numFmtId="170" fontId="90" fillId="0" borderId="0" xfId="2" applyNumberFormat="1" applyFont="1" applyBorder="1"/>
    <xf numFmtId="0" fontId="90" fillId="0" borderId="0" xfId="2" applyNumberFormat="1" applyFont="1" applyBorder="1"/>
    <xf numFmtId="167" fontId="90" fillId="0" borderId="0" xfId="0" applyNumberFormat="1" applyFont="1"/>
    <xf numFmtId="167" fontId="90" fillId="0" borderId="0" xfId="2" applyNumberFormat="1" applyFont="1" applyFill="1" applyBorder="1"/>
    <xf numFmtId="9" fontId="90" fillId="0" borderId="0" xfId="0" applyNumberFormat="1" applyFont="1"/>
    <xf numFmtId="0" fontId="115" fillId="0" borderId="0" xfId="0" applyFont="1"/>
    <xf numFmtId="167" fontId="41" fillId="0" borderId="0" xfId="0" applyNumberFormat="1" applyFont="1"/>
    <xf numFmtId="167" fontId="0" fillId="0" borderId="0" xfId="0" applyNumberFormat="1" applyAlignment="1">
      <alignment horizontal="left"/>
    </xf>
    <xf numFmtId="9" fontId="0" fillId="0" borderId="0" xfId="0" applyNumberFormat="1" applyAlignment="1">
      <alignment horizontal="left"/>
    </xf>
    <xf numFmtId="0" fontId="0" fillId="0" borderId="0" xfId="0" applyAlignment="1">
      <alignment horizontal="left"/>
    </xf>
    <xf numFmtId="9" fontId="0" fillId="0" borderId="0" xfId="0" applyNumberFormat="1" applyAlignment="1">
      <alignment horizontal="right"/>
    </xf>
    <xf numFmtId="0" fontId="40" fillId="0" borderId="0" xfId="0" applyFont="1" applyAlignment="1">
      <alignment horizontal="left" indent="2"/>
    </xf>
    <xf numFmtId="3" fontId="85" fillId="0" borderId="0" xfId="0" applyNumberFormat="1" applyFont="1"/>
    <xf numFmtId="167" fontId="56" fillId="0" borderId="0" xfId="2" applyNumberFormat="1" applyFont="1" applyBorder="1" applyAlignment="1">
      <alignment horizontal="right"/>
    </xf>
    <xf numFmtId="0" fontId="56" fillId="0" borderId="1" xfId="0" applyFont="1" applyBorder="1" applyAlignment="1">
      <alignment horizontal="right"/>
    </xf>
    <xf numFmtId="0" fontId="56" fillId="0" borderId="1" xfId="0" applyFont="1" applyBorder="1"/>
    <xf numFmtId="167" fontId="56" fillId="0" borderId="1" xfId="2" applyNumberFormat="1" applyFont="1" applyBorder="1" applyAlignment="1">
      <alignment horizontal="right"/>
    </xf>
    <xf numFmtId="1" fontId="66" fillId="3" borderId="0" xfId="0" applyNumberFormat="1" applyFont="1" applyFill="1"/>
    <xf numFmtId="10" fontId="66" fillId="0" borderId="0" xfId="2" applyNumberFormat="1" applyFont="1" applyFill="1" applyBorder="1"/>
    <xf numFmtId="9" fontId="66" fillId="0" borderId="0" xfId="2" applyFont="1" applyFill="1" applyBorder="1"/>
    <xf numFmtId="9" fontId="114" fillId="0" borderId="0" xfId="2" applyFont="1" applyFill="1" applyBorder="1"/>
    <xf numFmtId="168" fontId="90" fillId="0" borderId="0" xfId="0" applyNumberFormat="1" applyFont="1"/>
    <xf numFmtId="167" fontId="118" fillId="0" borderId="0" xfId="2" applyNumberFormat="1" applyFont="1" applyBorder="1"/>
    <xf numFmtId="10" fontId="90" fillId="0" borderId="0" xfId="2" applyNumberFormat="1" applyFont="1" applyBorder="1"/>
    <xf numFmtId="10" fontId="66" fillId="0" borderId="0" xfId="2" applyNumberFormat="1" applyFont="1" applyBorder="1"/>
    <xf numFmtId="9" fontId="119" fillId="0" borderId="0" xfId="2" applyFont="1" applyBorder="1"/>
    <xf numFmtId="167" fontId="66" fillId="3" borderId="0" xfId="0" applyNumberFormat="1" applyFont="1" applyFill="1"/>
    <xf numFmtId="167" fontId="90" fillId="0" borderId="0" xfId="2" applyNumberFormat="1" applyFont="1" applyBorder="1"/>
    <xf numFmtId="3" fontId="105" fillId="12" borderId="0" xfId="0" applyNumberFormat="1" applyFont="1" applyFill="1"/>
    <xf numFmtId="3" fontId="93" fillId="12" borderId="0" xfId="0" applyNumberFormat="1" applyFont="1" applyFill="1"/>
    <xf numFmtId="3" fontId="90" fillId="0" borderId="12" xfId="0" applyNumberFormat="1" applyFont="1" applyBorder="1"/>
    <xf numFmtId="3" fontId="93" fillId="0" borderId="12" xfId="0" applyNumberFormat="1" applyFont="1" applyBorder="1" applyAlignment="1">
      <alignment wrapText="1"/>
    </xf>
    <xf numFmtId="167" fontId="78" fillId="0" borderId="12" xfId="2" applyNumberFormat="1" applyFont="1" applyBorder="1" applyAlignment="1">
      <alignment horizontal="right"/>
    </xf>
    <xf numFmtId="3" fontId="118" fillId="0" borderId="12" xfId="0" applyNumberFormat="1" applyFont="1" applyBorder="1" applyAlignment="1">
      <alignment wrapText="1"/>
    </xf>
    <xf numFmtId="3" fontId="90" fillId="0" borderId="0" xfId="0" applyNumberFormat="1" applyFont="1"/>
    <xf numFmtId="167" fontId="110" fillId="0" borderId="0" xfId="2" applyNumberFormat="1" applyFont="1" applyBorder="1"/>
    <xf numFmtId="167" fontId="56" fillId="0" borderId="0" xfId="2" applyNumberFormat="1" applyFont="1" applyFill="1" applyBorder="1" applyAlignment="1">
      <alignment horizontal="right"/>
    </xf>
    <xf numFmtId="9" fontId="114" fillId="0" borderId="0" xfId="2" applyFont="1" applyBorder="1"/>
    <xf numFmtId="167" fontId="93" fillId="0" borderId="0" xfId="2" applyNumberFormat="1" applyFont="1" applyFill="1" applyAlignment="1">
      <alignment wrapText="1"/>
    </xf>
    <xf numFmtId="167" fontId="93" fillId="0" borderId="12" xfId="2" applyNumberFormat="1" applyFont="1" applyFill="1" applyBorder="1" applyAlignment="1">
      <alignment wrapText="1"/>
    </xf>
    <xf numFmtId="0" fontId="93" fillId="0" borderId="0" xfId="0" applyFont="1" applyAlignment="1">
      <alignment horizontal="left" vertical="center" wrapText="1" indent="1"/>
    </xf>
    <xf numFmtId="0" fontId="93" fillId="0" borderId="12" xfId="0" applyFont="1" applyBorder="1" applyAlignment="1">
      <alignment horizontal="left" vertical="center" wrapText="1" indent="1"/>
    </xf>
    <xf numFmtId="167" fontId="122" fillId="0" borderId="0" xfId="2" applyNumberFormat="1" applyFont="1" applyBorder="1" applyAlignment="1">
      <alignment horizontal="right"/>
    </xf>
    <xf numFmtId="170" fontId="92" fillId="0" borderId="0" xfId="0" applyNumberFormat="1" applyFont="1" applyAlignment="1">
      <alignment wrapText="1"/>
    </xf>
    <xf numFmtId="3" fontId="105" fillId="3" borderId="0" xfId="0" applyNumberFormat="1" applyFont="1" applyFill="1" applyAlignment="1">
      <alignment wrapText="1"/>
    </xf>
    <xf numFmtId="3" fontId="105" fillId="3" borderId="12" xfId="0" applyNumberFormat="1" applyFont="1" applyFill="1" applyBorder="1" applyAlignment="1">
      <alignment wrapText="1"/>
    </xf>
    <xf numFmtId="167" fontId="122" fillId="0" borderId="12" xfId="2" applyNumberFormat="1" applyFont="1" applyBorder="1" applyAlignment="1">
      <alignment horizontal="right"/>
    </xf>
    <xf numFmtId="170" fontId="92" fillId="0" borderId="12" xfId="0" applyNumberFormat="1" applyFont="1" applyBorder="1" applyAlignment="1">
      <alignment wrapText="1"/>
    </xf>
    <xf numFmtId="167" fontId="118" fillId="0" borderId="0" xfId="2" applyNumberFormat="1" applyFont="1" applyFill="1" applyAlignment="1">
      <alignment wrapText="1"/>
    </xf>
    <xf numFmtId="167" fontId="118" fillId="0" borderId="12" xfId="2" applyNumberFormat="1" applyFont="1" applyFill="1" applyBorder="1" applyAlignment="1">
      <alignment wrapText="1"/>
    </xf>
    <xf numFmtId="1" fontId="123" fillId="0" borderId="24" xfId="0" applyNumberFormat="1" applyFont="1" applyBorder="1"/>
    <xf numFmtId="0" fontId="92" fillId="0" borderId="0" xfId="0" applyFont="1" applyAlignment="1">
      <alignment horizontal="left" vertical="center"/>
    </xf>
    <xf numFmtId="0" fontId="93" fillId="0" borderId="0" xfId="0" applyFont="1" applyAlignment="1">
      <alignment horizontal="left" vertical="center" indent="1"/>
    </xf>
    <xf numFmtId="3" fontId="93" fillId="0" borderId="0" xfId="2" applyNumberFormat="1" applyFont="1" applyFill="1" applyBorder="1" applyAlignment="1">
      <alignment horizontal="center"/>
    </xf>
    <xf numFmtId="0" fontId="93" fillId="0" borderId="0" xfId="0" applyFont="1" applyAlignment="1">
      <alignment horizontal="left" vertical="center"/>
    </xf>
    <xf numFmtId="3" fontId="92" fillId="0" borderId="0" xfId="2" applyNumberFormat="1" applyFont="1" applyFill="1" applyBorder="1" applyAlignment="1">
      <alignment horizontal="center"/>
    </xf>
    <xf numFmtId="1" fontId="93" fillId="0" borderId="0" xfId="2" applyNumberFormat="1" applyFont="1" applyFill="1" applyBorder="1" applyAlignment="1">
      <alignment horizontal="center"/>
    </xf>
    <xf numFmtId="1" fontId="93" fillId="0" borderId="0" xfId="2" applyNumberFormat="1" applyFont="1" applyFill="1" applyBorder="1" applyAlignment="1">
      <alignment horizontal="center" vertical="center"/>
    </xf>
    <xf numFmtId="0" fontId="124" fillId="0" borderId="0" xfId="0" applyFont="1"/>
    <xf numFmtId="0" fontId="124" fillId="4" borderId="0" xfId="0" applyFont="1" applyFill="1" applyAlignment="1">
      <alignment horizontal="right"/>
    </xf>
    <xf numFmtId="0" fontId="125" fillId="0" borderId="0" xfId="0" applyFont="1"/>
    <xf numFmtId="0" fontId="125" fillId="0" borderId="0" xfId="0" applyFont="1" applyAlignment="1">
      <alignment horizontal="right"/>
    </xf>
    <xf numFmtId="0" fontId="126" fillId="0" borderId="0" xfId="0" applyFont="1"/>
    <xf numFmtId="0" fontId="127" fillId="0" borderId="0" xfId="0" applyFont="1" applyAlignment="1">
      <alignment horizontal="center"/>
    </xf>
    <xf numFmtId="0" fontId="126" fillId="0" borderId="1" xfId="0" applyFont="1" applyBorder="1"/>
    <xf numFmtId="3" fontId="128" fillId="0" borderId="1" xfId="0" applyNumberFormat="1" applyFont="1" applyBorder="1"/>
    <xf numFmtId="0" fontId="129" fillId="0" borderId="1" xfId="0" applyFont="1" applyBorder="1"/>
    <xf numFmtId="0" fontId="124" fillId="0" borderId="0" xfId="0" applyFont="1" applyAlignment="1">
      <alignment horizontal="left" indent="2"/>
    </xf>
    <xf numFmtId="1" fontId="130" fillId="0" borderId="0" xfId="0" applyNumberFormat="1" applyFont="1"/>
    <xf numFmtId="0" fontId="127" fillId="0" borderId="0" xfId="0" applyFont="1"/>
    <xf numFmtId="0" fontId="127" fillId="0" borderId="0" xfId="0" quotePrefix="1" applyFont="1"/>
    <xf numFmtId="0" fontId="127" fillId="0" borderId="0" xfId="0" applyFont="1" applyAlignment="1">
      <alignment horizontal="left" indent="3"/>
    </xf>
    <xf numFmtId="9" fontId="127" fillId="0" borderId="0" xfId="2" applyFont="1"/>
    <xf numFmtId="1" fontId="124" fillId="0" borderId="0" xfId="0" applyNumberFormat="1" applyFont="1"/>
    <xf numFmtId="3" fontId="124" fillId="0" borderId="0" xfId="0" applyNumberFormat="1" applyFont="1"/>
    <xf numFmtId="0" fontId="129" fillId="0" borderId="0" xfId="0" applyFont="1"/>
    <xf numFmtId="0" fontId="124" fillId="0" borderId="0" xfId="0" applyFont="1" applyAlignment="1">
      <alignment horizontal="left" indent="1"/>
    </xf>
    <xf numFmtId="1" fontId="131" fillId="0" borderId="0" xfId="0" applyNumberFormat="1" applyFont="1"/>
    <xf numFmtId="167" fontId="124" fillId="0" borderId="0" xfId="2" applyNumberFormat="1" applyFont="1"/>
    <xf numFmtId="9" fontId="124" fillId="0" borderId="0" xfId="2" applyFont="1"/>
    <xf numFmtId="0" fontId="128" fillId="0" borderId="12" xfId="0" applyFont="1" applyBorder="1"/>
    <xf numFmtId="9" fontId="124" fillId="0" borderId="0" xfId="0" applyNumberFormat="1" applyFont="1"/>
    <xf numFmtId="0" fontId="124" fillId="3" borderId="0" xfId="0" applyFont="1" applyFill="1"/>
    <xf numFmtId="2" fontId="124" fillId="3" borderId="0" xfId="0" applyNumberFormat="1" applyFont="1" applyFill="1"/>
    <xf numFmtId="2" fontId="124" fillId="0" borderId="0" xfId="0" applyNumberFormat="1" applyFont="1"/>
    <xf numFmtId="0" fontId="128" fillId="0" borderId="12" xfId="0" applyFont="1" applyBorder="1" applyAlignment="1">
      <alignment horizontal="right"/>
    </xf>
    <xf numFmtId="168" fontId="124" fillId="0" borderId="0" xfId="0" applyNumberFormat="1" applyFont="1"/>
    <xf numFmtId="0" fontId="124" fillId="0" borderId="0" xfId="16" applyFont="1"/>
    <xf numFmtId="0" fontId="124" fillId="0" borderId="0" xfId="2" applyNumberFormat="1" applyFont="1"/>
    <xf numFmtId="9" fontId="132" fillId="9" borderId="16" xfId="2" applyFont="1" applyFill="1" applyBorder="1" applyAlignment="1" applyProtection="1">
      <alignment horizontal="right"/>
    </xf>
    <xf numFmtId="0" fontId="124" fillId="0" borderId="0" xfId="0" applyFont="1" applyAlignment="1">
      <alignment horizontal="left"/>
    </xf>
    <xf numFmtId="170" fontId="124" fillId="0" borderId="0" xfId="0" applyNumberFormat="1" applyFont="1"/>
    <xf numFmtId="17" fontId="124" fillId="0" borderId="0" xfId="0" applyNumberFormat="1" applyFont="1" applyAlignment="1">
      <alignment horizontal="right"/>
    </xf>
    <xf numFmtId="0" fontId="127" fillId="5" borderId="0" xfId="17" applyFont="1" applyFill="1"/>
    <xf numFmtId="9" fontId="127" fillId="5" borderId="0" xfId="2" applyFont="1" applyFill="1"/>
    <xf numFmtId="0" fontId="128" fillId="0" borderId="17" xfId="0" applyFont="1" applyBorder="1" applyAlignment="1">
      <alignment horizontal="center"/>
    </xf>
    <xf numFmtId="0" fontId="128" fillId="0" borderId="18" xfId="0" applyFont="1" applyBorder="1" applyAlignment="1">
      <alignment horizontal="center"/>
    </xf>
    <xf numFmtId="0" fontId="127" fillId="0" borderId="0" xfId="17" applyFont="1"/>
    <xf numFmtId="0" fontId="129" fillId="0" borderId="12" xfId="0" applyFont="1" applyBorder="1"/>
    <xf numFmtId="17" fontId="129" fillId="0" borderId="12" xfId="0" applyNumberFormat="1" applyFont="1" applyBorder="1" applyAlignment="1">
      <alignment horizontal="right"/>
    </xf>
    <xf numFmtId="9" fontId="125" fillId="0" borderId="0" xfId="0" applyNumberFormat="1" applyFont="1"/>
    <xf numFmtId="0" fontId="127" fillId="0" borderId="0" xfId="0" applyFont="1" applyAlignment="1">
      <alignment horizontal="left" indent="1"/>
    </xf>
    <xf numFmtId="0" fontId="133" fillId="0" borderId="0" xfId="0" applyFont="1"/>
    <xf numFmtId="0" fontId="127" fillId="5" borderId="0" xfId="17" applyFont="1" applyFill="1" applyAlignment="1">
      <alignment horizontal="left" indent="1"/>
    </xf>
    <xf numFmtId="0" fontId="129" fillId="5" borderId="22" xfId="17" applyFont="1" applyFill="1" applyBorder="1" applyAlignment="1">
      <alignment horizontal="left" indent="1"/>
    </xf>
    <xf numFmtId="0" fontId="129" fillId="5" borderId="17" xfId="17" applyFont="1" applyFill="1" applyBorder="1"/>
    <xf numFmtId="9" fontId="129" fillId="5" borderId="17" xfId="2" applyFont="1" applyFill="1" applyBorder="1"/>
    <xf numFmtId="9" fontId="129" fillId="5" borderId="18" xfId="2" applyFont="1" applyFill="1" applyBorder="1"/>
    <xf numFmtId="0" fontId="129" fillId="0" borderId="22" xfId="0" applyFont="1" applyBorder="1" applyAlignment="1">
      <alignment horizontal="left" indent="1"/>
    </xf>
    <xf numFmtId="0" fontId="129" fillId="0" borderId="17" xfId="0" applyFont="1" applyBorder="1"/>
    <xf numFmtId="9" fontId="129" fillId="0" borderId="17" xfId="0" applyNumberFormat="1" applyFont="1" applyBorder="1"/>
    <xf numFmtId="9" fontId="129" fillId="0" borderId="18" xfId="0" applyNumberFormat="1" applyFont="1" applyBorder="1"/>
    <xf numFmtId="1" fontId="128" fillId="0" borderId="0" xfId="0" applyNumberFormat="1" applyFont="1"/>
    <xf numFmtId="1" fontId="128" fillId="0" borderId="0" xfId="0" applyNumberFormat="1" applyFont="1" applyAlignment="1">
      <alignment horizontal="right"/>
    </xf>
    <xf numFmtId="1" fontId="124" fillId="0" borderId="12" xfId="0" applyNumberFormat="1" applyFont="1" applyBorder="1"/>
    <xf numFmtId="1" fontId="128" fillId="0" borderId="12" xfId="0" applyNumberFormat="1" applyFont="1" applyBorder="1" applyAlignment="1">
      <alignment horizontal="right"/>
    </xf>
    <xf numFmtId="1" fontId="134" fillId="0" borderId="0" xfId="0" applyNumberFormat="1" applyFont="1"/>
    <xf numFmtId="167" fontId="124" fillId="0" borderId="0" xfId="0" applyNumberFormat="1" applyFont="1"/>
    <xf numFmtId="167" fontId="124" fillId="0" borderId="12" xfId="0" applyNumberFormat="1" applyFont="1" applyBorder="1"/>
    <xf numFmtId="0" fontId="128" fillId="0" borderId="0" xfId="0" applyFont="1"/>
    <xf numFmtId="0" fontId="128" fillId="0" borderId="0" xfId="0" applyFont="1" applyAlignment="1">
      <alignment horizontal="right"/>
    </xf>
    <xf numFmtId="167" fontId="128" fillId="0" borderId="0" xfId="0" applyNumberFormat="1" applyFont="1"/>
    <xf numFmtId="1" fontId="128" fillId="0" borderId="12" xfId="0" applyNumberFormat="1" applyFont="1" applyBorder="1"/>
    <xf numFmtId="167" fontId="125" fillId="0" borderId="0" xfId="0" applyNumberFormat="1" applyFont="1"/>
    <xf numFmtId="0" fontId="124" fillId="0" borderId="12" xfId="0" applyFont="1" applyBorder="1"/>
    <xf numFmtId="0" fontId="129" fillId="0" borderId="12" xfId="0" applyFont="1" applyBorder="1" applyAlignment="1">
      <alignment horizontal="right"/>
    </xf>
    <xf numFmtId="3" fontId="129" fillId="0" borderId="12" xfId="0" applyNumberFormat="1" applyFont="1" applyBorder="1" applyAlignment="1">
      <alignment horizontal="right"/>
    </xf>
    <xf numFmtId="0" fontId="127" fillId="0" borderId="0" xfId="0" applyFont="1" applyAlignment="1">
      <alignment horizontal="right"/>
    </xf>
    <xf numFmtId="0" fontId="127" fillId="5" borderId="0" xfId="0" applyFont="1" applyFill="1"/>
    <xf numFmtId="3" fontId="127" fillId="5" borderId="0" xfId="0" applyNumberFormat="1" applyFont="1" applyFill="1"/>
    <xf numFmtId="167" fontId="127" fillId="5" borderId="0" xfId="0" applyNumberFormat="1" applyFont="1" applyFill="1"/>
    <xf numFmtId="9" fontId="127" fillId="5" borderId="0" xfId="0" applyNumberFormat="1" applyFont="1" applyFill="1"/>
    <xf numFmtId="0" fontId="127" fillId="0" borderId="12" xfId="0" applyFont="1" applyBorder="1"/>
    <xf numFmtId="3" fontId="127" fillId="0" borderId="12" xfId="0" applyNumberFormat="1" applyFont="1" applyBorder="1"/>
    <xf numFmtId="167" fontId="127" fillId="0" borderId="12" xfId="0" applyNumberFormat="1" applyFont="1" applyBorder="1"/>
    <xf numFmtId="9" fontId="127" fillId="0" borderId="12" xfId="0" applyNumberFormat="1" applyFont="1" applyBorder="1"/>
    <xf numFmtId="3" fontId="127" fillId="0" borderId="0" xfId="0" applyNumberFormat="1" applyFont="1"/>
    <xf numFmtId="167" fontId="127" fillId="0" borderId="0" xfId="0" applyNumberFormat="1" applyFont="1"/>
    <xf numFmtId="1" fontId="128" fillId="5" borderId="0" xfId="0" applyNumberFormat="1" applyFont="1" applyFill="1"/>
    <xf numFmtId="167" fontId="124" fillId="5" borderId="0" xfId="0" applyNumberFormat="1" applyFont="1" applyFill="1"/>
    <xf numFmtId="1" fontId="124" fillId="5" borderId="0" xfId="0" applyNumberFormat="1" applyFont="1" applyFill="1"/>
    <xf numFmtId="0" fontId="124" fillId="5" borderId="0" xfId="0" applyFont="1" applyFill="1"/>
    <xf numFmtId="1" fontId="128" fillId="5" borderId="22" xfId="0" applyNumberFormat="1" applyFont="1" applyFill="1" applyBorder="1"/>
    <xf numFmtId="3" fontId="129" fillId="5" borderId="17" xfId="0" applyNumberFormat="1" applyFont="1" applyFill="1" applyBorder="1"/>
    <xf numFmtId="167" fontId="129" fillId="5" borderId="17" xfId="0" applyNumberFormat="1" applyFont="1" applyFill="1" applyBorder="1"/>
    <xf numFmtId="0" fontId="128" fillId="5" borderId="17" xfId="0" applyFont="1" applyFill="1" applyBorder="1"/>
    <xf numFmtId="167" fontId="129" fillId="5" borderId="18" xfId="0" applyNumberFormat="1" applyFont="1" applyFill="1" applyBorder="1"/>
    <xf numFmtId="0" fontId="127" fillId="0" borderId="0" xfId="0" applyFont="1" applyAlignment="1">
      <alignment vertical="center" wrapText="1"/>
    </xf>
    <xf numFmtId="0" fontId="129" fillId="0" borderId="0" xfId="0" applyFont="1" applyAlignment="1">
      <alignment vertical="center" wrapText="1"/>
    </xf>
    <xf numFmtId="3" fontId="129" fillId="0" borderId="0" xfId="0" applyNumberFormat="1" applyFont="1" applyAlignment="1">
      <alignment wrapText="1"/>
    </xf>
    <xf numFmtId="3" fontId="129" fillId="10" borderId="0" xfId="0" applyNumberFormat="1" applyFont="1" applyFill="1" applyAlignment="1">
      <alignment wrapText="1"/>
    </xf>
    <xf numFmtId="0" fontId="129" fillId="0" borderId="12" xfId="0" applyFont="1" applyBorder="1" applyAlignment="1">
      <alignment vertical="center" wrapText="1"/>
    </xf>
    <xf numFmtId="3" fontId="129" fillId="0" borderId="12" xfId="0" applyNumberFormat="1" applyFont="1" applyBorder="1" applyAlignment="1">
      <alignment wrapText="1"/>
    </xf>
    <xf numFmtId="3" fontId="129" fillId="3" borderId="0" xfId="0" applyNumberFormat="1" applyFont="1" applyFill="1" applyAlignment="1">
      <alignment wrapText="1"/>
    </xf>
    <xf numFmtId="0" fontId="127" fillId="0" borderId="12" xfId="0" applyFont="1" applyBorder="1" applyAlignment="1">
      <alignment vertical="center" wrapText="1"/>
    </xf>
    <xf numFmtId="3" fontId="127" fillId="0" borderId="0" xfId="0" applyNumberFormat="1" applyFont="1" applyAlignment="1">
      <alignment wrapText="1"/>
    </xf>
    <xf numFmtId="9" fontId="127" fillId="0" borderId="0" xfId="0" applyNumberFormat="1" applyFont="1"/>
    <xf numFmtId="1" fontId="127" fillId="0" borderId="0" xfId="0" applyNumberFormat="1" applyFont="1"/>
    <xf numFmtId="0" fontId="135" fillId="5" borderId="0" xfId="0" applyFont="1" applyFill="1" applyAlignment="1">
      <alignment vertical="center" wrapText="1"/>
    </xf>
    <xf numFmtId="0" fontId="129" fillId="5" borderId="0" xfId="0" applyFont="1" applyFill="1" applyAlignment="1">
      <alignment horizontal="right"/>
    </xf>
    <xf numFmtId="0" fontId="127" fillId="5" borderId="0" xfId="0" applyFont="1" applyFill="1" applyAlignment="1">
      <alignment vertical="center" wrapText="1"/>
    </xf>
    <xf numFmtId="0" fontId="129" fillId="0" borderId="22" xfId="0" applyFont="1" applyBorder="1" applyAlignment="1">
      <alignment vertical="center" wrapText="1"/>
    </xf>
    <xf numFmtId="3" fontId="129" fillId="0" borderId="17" xfId="0" applyNumberFormat="1" applyFont="1" applyBorder="1"/>
    <xf numFmtId="3" fontId="129" fillId="0" borderId="18" xfId="0" applyNumberFormat="1" applyFont="1" applyBorder="1"/>
    <xf numFmtId="0" fontId="135" fillId="0" borderId="0" xfId="0" applyFont="1" applyAlignment="1">
      <alignment vertical="center" wrapText="1"/>
    </xf>
    <xf numFmtId="0" fontId="129" fillId="0" borderId="22" xfId="0" applyFont="1" applyBorder="1"/>
    <xf numFmtId="0" fontId="127" fillId="5" borderId="23" xfId="0" applyFont="1" applyFill="1" applyBorder="1"/>
    <xf numFmtId="3" fontId="127" fillId="5" borderId="23" xfId="0" applyNumberFormat="1" applyFont="1" applyFill="1" applyBorder="1"/>
    <xf numFmtId="0" fontId="136" fillId="0" borderId="12" xfId="0" applyFont="1" applyBorder="1" applyAlignment="1">
      <alignment horizontal="right"/>
    </xf>
    <xf numFmtId="0" fontId="135" fillId="5" borderId="0" xfId="0" applyFont="1" applyFill="1"/>
    <xf numFmtId="0" fontId="129" fillId="11" borderId="0" xfId="0" applyFont="1" applyFill="1" applyAlignment="1">
      <alignment horizontal="right"/>
    </xf>
    <xf numFmtId="1" fontId="137" fillId="0" borderId="0" xfId="0" applyNumberFormat="1" applyFont="1"/>
    <xf numFmtId="1" fontId="127" fillId="5" borderId="0" xfId="0" applyNumberFormat="1" applyFont="1" applyFill="1"/>
    <xf numFmtId="1" fontId="137" fillId="12" borderId="0" xfId="0" applyNumberFormat="1" applyFont="1" applyFill="1"/>
    <xf numFmtId="1" fontId="129" fillId="0" borderId="17" xfId="0" applyNumberFormat="1" applyFont="1" applyBorder="1"/>
    <xf numFmtId="1" fontId="136" fillId="0" borderId="17" xfId="0" applyNumberFormat="1" applyFont="1" applyBorder="1"/>
    <xf numFmtId="1" fontId="136" fillId="0" borderId="18" xfId="0" applyNumberFormat="1" applyFont="1" applyBorder="1"/>
    <xf numFmtId="0" fontId="129" fillId="5" borderId="0" xfId="0" applyFont="1" applyFill="1"/>
    <xf numFmtId="9" fontId="129" fillId="5" borderId="0" xfId="0" applyNumberFormat="1" applyFont="1" applyFill="1"/>
    <xf numFmtId="9" fontId="136" fillId="12" borderId="0" xfId="0" applyNumberFormat="1" applyFont="1" applyFill="1"/>
    <xf numFmtId="1" fontId="129" fillId="0" borderId="0" xfId="0" applyNumberFormat="1" applyFont="1"/>
    <xf numFmtId="1" fontId="136" fillId="0" borderId="0" xfId="0" applyNumberFormat="1" applyFont="1"/>
    <xf numFmtId="0" fontId="129" fillId="5" borderId="12" xfId="0" applyFont="1" applyFill="1" applyBorder="1"/>
    <xf numFmtId="0" fontId="129" fillId="5" borderId="12" xfId="0" applyFont="1" applyFill="1" applyBorder="1" applyAlignment="1">
      <alignment horizontal="right"/>
    </xf>
    <xf numFmtId="0" fontId="136" fillId="12" borderId="12" xfId="0" applyFont="1" applyFill="1" applyBorder="1" applyAlignment="1">
      <alignment horizontal="right"/>
    </xf>
    <xf numFmtId="0" fontId="135" fillId="0" borderId="0" xfId="0" applyFont="1"/>
    <xf numFmtId="0" fontId="129" fillId="0" borderId="0" xfId="0" applyFont="1" applyAlignment="1">
      <alignment horizontal="right"/>
    </xf>
    <xf numFmtId="0" fontId="136" fillId="0" borderId="0" xfId="0" applyFont="1" applyAlignment="1">
      <alignment horizontal="right"/>
    </xf>
    <xf numFmtId="1" fontId="127" fillId="0" borderId="0" xfId="0" applyNumberFormat="1" applyFont="1" applyAlignment="1">
      <alignment horizontal="center"/>
    </xf>
    <xf numFmtId="1" fontId="124" fillId="0" borderId="0" xfId="0" applyNumberFormat="1" applyFont="1" applyAlignment="1">
      <alignment horizontal="center"/>
    </xf>
    <xf numFmtId="0" fontId="129" fillId="0" borderId="12" xfId="0" applyFont="1" applyBorder="1" applyAlignment="1">
      <alignment horizontal="center" vertical="center"/>
    </xf>
    <xf numFmtId="0" fontId="129" fillId="0" borderId="12" xfId="0" applyFont="1" applyBorder="1" applyAlignment="1">
      <alignment horizontal="center" vertical="center" wrapText="1"/>
    </xf>
    <xf numFmtId="0" fontId="126" fillId="0" borderId="12" xfId="0" applyFont="1" applyBorder="1" applyAlignment="1">
      <alignment horizontal="center" vertical="center" wrapText="1"/>
    </xf>
    <xf numFmtId="0" fontId="125" fillId="0" borderId="0" xfId="0" applyFont="1" applyAlignment="1">
      <alignment horizontal="center" vertical="center" wrapText="1"/>
    </xf>
    <xf numFmtId="9" fontId="125" fillId="5" borderId="0" xfId="0" applyNumberFormat="1" applyFont="1" applyFill="1"/>
    <xf numFmtId="1" fontId="128" fillId="0" borderId="7" xfId="0" applyNumberFormat="1" applyFont="1" applyBorder="1"/>
    <xf numFmtId="1" fontId="128" fillId="0" borderId="8" xfId="0" applyNumberFormat="1" applyFont="1" applyBorder="1"/>
    <xf numFmtId="9" fontId="126" fillId="0" borderId="9" xfId="2" applyFont="1" applyBorder="1"/>
    <xf numFmtId="9" fontId="130" fillId="0" borderId="0" xfId="0" applyNumberFormat="1" applyFont="1"/>
    <xf numFmtId="0" fontId="130" fillId="0" borderId="0" xfId="0" applyFont="1"/>
    <xf numFmtId="10" fontId="130" fillId="0" borderId="0" xfId="0" applyNumberFormat="1" applyFont="1"/>
    <xf numFmtId="168" fontId="127" fillId="0" borderId="0" xfId="0" applyNumberFormat="1" applyFont="1"/>
    <xf numFmtId="0" fontId="131" fillId="0" borderId="0" xfId="0" applyFont="1"/>
    <xf numFmtId="168" fontId="131" fillId="0" borderId="0" xfId="0" applyNumberFormat="1" applyFont="1"/>
    <xf numFmtId="9" fontId="131" fillId="0" borderId="0" xfId="0" applyNumberFormat="1" applyFont="1"/>
    <xf numFmtId="10" fontId="124" fillId="0" borderId="0" xfId="0" applyNumberFormat="1" applyFont="1"/>
    <xf numFmtId="0" fontId="127" fillId="0" borderId="0" xfId="0" applyFont="1" applyAlignment="1">
      <alignment horizontal="left"/>
    </xf>
    <xf numFmtId="167" fontId="127" fillId="0" borderId="0" xfId="2" applyNumberFormat="1" applyFont="1"/>
    <xf numFmtId="0" fontId="138" fillId="0" borderId="0" xfId="0" applyFont="1"/>
    <xf numFmtId="167" fontId="124" fillId="0" borderId="0" xfId="2" applyNumberFormat="1" applyFont="1" applyFill="1" applyBorder="1"/>
    <xf numFmtId="2" fontId="128" fillId="0" borderId="0" xfId="0" applyNumberFormat="1" applyFont="1"/>
    <xf numFmtId="167" fontId="128" fillId="0" borderId="0" xfId="2" applyNumberFormat="1" applyFont="1" applyFill="1" applyBorder="1"/>
    <xf numFmtId="16" fontId="129" fillId="0" borderId="25" xfId="0" applyNumberFormat="1" applyFont="1" applyBorder="1"/>
    <xf numFmtId="0" fontId="127" fillId="13" borderId="14" xfId="0" applyFont="1" applyFill="1" applyBorder="1" applyAlignment="1">
      <alignment horizontal="left" vertical="center"/>
    </xf>
    <xf numFmtId="0" fontId="129" fillId="13" borderId="14" xfId="0" applyFont="1" applyFill="1" applyBorder="1" applyAlignment="1">
      <alignment horizontal="center"/>
    </xf>
    <xf numFmtId="0" fontId="129" fillId="13" borderId="0" xfId="0" applyFont="1" applyFill="1" applyAlignment="1">
      <alignment horizontal="center"/>
    </xf>
    <xf numFmtId="0" fontId="127" fillId="0" borderId="0" xfId="0" applyFont="1" applyAlignment="1">
      <alignment horizontal="left" vertical="center"/>
    </xf>
    <xf numFmtId="9" fontId="127" fillId="0" borderId="0" xfId="2" applyFont="1" applyBorder="1" applyAlignment="1">
      <alignment horizontal="center"/>
    </xf>
    <xf numFmtId="167" fontId="127" fillId="0" borderId="0" xfId="2" applyNumberFormat="1" applyFont="1" applyBorder="1" applyAlignment="1">
      <alignment horizontal="center"/>
    </xf>
    <xf numFmtId="0" fontId="127" fillId="13" borderId="0" xfId="0" applyFont="1" applyFill="1" applyAlignment="1">
      <alignment horizontal="left" vertical="center"/>
    </xf>
    <xf numFmtId="167" fontId="127" fillId="13" borderId="0" xfId="2" applyNumberFormat="1" applyFont="1" applyFill="1" applyBorder="1" applyAlignment="1">
      <alignment horizontal="center"/>
    </xf>
    <xf numFmtId="9" fontId="127" fillId="13" borderId="0" xfId="2" applyFont="1" applyFill="1" applyBorder="1" applyAlignment="1">
      <alignment horizontal="center"/>
    </xf>
    <xf numFmtId="3" fontId="127" fillId="0" borderId="0" xfId="2" applyNumberFormat="1" applyFont="1" applyBorder="1" applyAlignment="1">
      <alignment horizontal="center"/>
    </xf>
    <xf numFmtId="3" fontId="127" fillId="13" borderId="0" xfId="2" applyNumberFormat="1" applyFont="1" applyFill="1" applyBorder="1" applyAlignment="1">
      <alignment horizontal="center"/>
    </xf>
    <xf numFmtId="0" fontId="127" fillId="0" borderId="12" xfId="0" applyFont="1" applyBorder="1" applyAlignment="1">
      <alignment horizontal="left" vertical="center"/>
    </xf>
    <xf numFmtId="3" fontId="127" fillId="0" borderId="12" xfId="2" applyNumberFormat="1" applyFont="1" applyBorder="1" applyAlignment="1">
      <alignment horizontal="center"/>
    </xf>
    <xf numFmtId="167" fontId="127" fillId="0" borderId="12" xfId="2" applyNumberFormat="1" applyFont="1" applyBorder="1" applyAlignment="1">
      <alignment horizontal="center"/>
    </xf>
    <xf numFmtId="9" fontId="127" fillId="0" borderId="12" xfId="2" applyFont="1" applyBorder="1" applyAlignment="1">
      <alignment horizontal="center"/>
    </xf>
    <xf numFmtId="16" fontId="129" fillId="0" borderId="8" xfId="0" applyNumberFormat="1" applyFont="1" applyBorder="1"/>
    <xf numFmtId="16" fontId="129" fillId="0" borderId="12" xfId="0" applyNumberFormat="1" applyFont="1" applyBorder="1"/>
    <xf numFmtId="0" fontId="124" fillId="0" borderId="13" xfId="0" applyFont="1" applyBorder="1"/>
    <xf numFmtId="1" fontId="128" fillId="0" borderId="0" xfId="2" applyNumberFormat="1" applyFont="1" applyFill="1" applyBorder="1"/>
    <xf numFmtId="9" fontId="124" fillId="0" borderId="12" xfId="0" applyNumberFormat="1" applyFont="1" applyBorder="1"/>
    <xf numFmtId="0" fontId="128" fillId="0" borderId="12" xfId="0" applyFont="1" applyBorder="1" applyAlignment="1">
      <alignment horizontal="left"/>
    </xf>
    <xf numFmtId="9" fontId="128" fillId="0" borderId="12" xfId="0" applyNumberFormat="1" applyFont="1" applyBorder="1"/>
    <xf numFmtId="9" fontId="124" fillId="0" borderId="0" xfId="0" applyNumberFormat="1" applyFont="1" applyAlignment="1">
      <alignment horizontal="left"/>
    </xf>
    <xf numFmtId="9" fontId="128" fillId="0" borderId="22" xfId="0" applyNumberFormat="1" applyFont="1" applyBorder="1" applyAlignment="1">
      <alignment horizontal="left"/>
    </xf>
    <xf numFmtId="168" fontId="128" fillId="0" borderId="18" xfId="0" applyNumberFormat="1" applyFont="1" applyBorder="1"/>
    <xf numFmtId="9" fontId="124" fillId="14" borderId="0" xfId="0" applyNumberFormat="1" applyFont="1" applyFill="1" applyAlignment="1">
      <alignment horizontal="left"/>
    </xf>
    <xf numFmtId="168" fontId="124" fillId="14" borderId="0" xfId="0" applyNumberFormat="1" applyFont="1" applyFill="1"/>
    <xf numFmtId="1" fontId="80" fillId="0" borderId="0" xfId="0" applyNumberFormat="1" applyFont="1"/>
    <xf numFmtId="9" fontId="80" fillId="0" borderId="0" xfId="0" applyNumberFormat="1" applyFont="1"/>
    <xf numFmtId="14" fontId="80" fillId="0" borderId="0" xfId="0" applyNumberFormat="1" applyFont="1"/>
    <xf numFmtId="10" fontId="66" fillId="3" borderId="0" xfId="0" applyNumberFormat="1" applyFont="1" applyFill="1"/>
    <xf numFmtId="9" fontId="66" fillId="0" borderId="0" xfId="2" applyFont="1"/>
    <xf numFmtId="3" fontId="66" fillId="0" borderId="12" xfId="0" applyNumberFormat="1" applyFont="1" applyBorder="1"/>
    <xf numFmtId="3" fontId="114" fillId="0" borderId="12" xfId="0" applyNumberFormat="1" applyFont="1" applyBorder="1"/>
    <xf numFmtId="167" fontId="90" fillId="0" borderId="0" xfId="2" applyNumberFormat="1" applyFont="1" applyFill="1" applyAlignment="1">
      <alignment wrapText="1"/>
    </xf>
    <xf numFmtId="167" fontId="90" fillId="0" borderId="12" xfId="2" applyNumberFormat="1" applyFont="1" applyFill="1" applyBorder="1" applyAlignment="1">
      <alignment wrapText="1"/>
    </xf>
    <xf numFmtId="170" fontId="91" fillId="0" borderId="0" xfId="0" applyNumberFormat="1" applyFont="1" applyAlignment="1">
      <alignment wrapText="1"/>
    </xf>
    <xf numFmtId="9" fontId="81" fillId="5" borderId="0" xfId="2" applyFont="1" applyFill="1"/>
    <xf numFmtId="167" fontId="112" fillId="0" borderId="0" xfId="0" applyNumberFormat="1" applyFont="1"/>
    <xf numFmtId="1" fontId="129" fillId="0" borderId="25" xfId="0" applyNumberFormat="1" applyFont="1" applyBorder="1"/>
    <xf numFmtId="0" fontId="127" fillId="0" borderId="0" xfId="17" applyFont="1" applyAlignment="1">
      <alignment horizontal="right"/>
    </xf>
    <xf numFmtId="3" fontId="127" fillId="0" borderId="0" xfId="0" applyNumberFormat="1" applyFont="1" applyAlignment="1">
      <alignment horizontal="right" vertical="center"/>
    </xf>
    <xf numFmtId="0" fontId="127" fillId="0" borderId="0" xfId="0" applyFont="1" applyAlignment="1">
      <alignment horizontal="right" vertical="center"/>
    </xf>
    <xf numFmtId="170" fontId="127" fillId="0" borderId="0" xfId="0" applyNumberFormat="1" applyFont="1" applyAlignment="1">
      <alignment horizontal="right" vertical="center"/>
    </xf>
    <xf numFmtId="9" fontId="127" fillId="0" borderId="0" xfId="2" applyFont="1" applyBorder="1" applyAlignment="1">
      <alignment horizontal="right" vertical="center"/>
    </xf>
    <xf numFmtId="167" fontId="127" fillId="0" borderId="0" xfId="17" applyNumberFormat="1" applyFont="1"/>
    <xf numFmtId="168" fontId="127" fillId="0" borderId="0" xfId="0" applyNumberFormat="1" applyFont="1" applyAlignment="1">
      <alignment horizontal="right" vertical="center"/>
    </xf>
    <xf numFmtId="4" fontId="127" fillId="0" borderId="0" xfId="0" applyNumberFormat="1" applyFont="1" applyAlignment="1">
      <alignment horizontal="right" vertical="center"/>
    </xf>
    <xf numFmtId="167" fontId="124" fillId="3" borderId="0" xfId="0" applyNumberFormat="1" applyFont="1" applyFill="1"/>
    <xf numFmtId="9" fontId="87" fillId="0" borderId="0" xfId="2" applyFont="1"/>
    <xf numFmtId="0" fontId="140" fillId="0" borderId="7" xfId="5" applyFont="1" applyBorder="1"/>
    <xf numFmtId="0" fontId="129" fillId="0" borderId="8" xfId="0" applyFont="1" applyBorder="1" applyAlignment="1">
      <alignment horizontal="left"/>
    </xf>
    <xf numFmtId="0" fontId="129" fillId="0" borderId="8" xfId="0" applyFont="1" applyBorder="1" applyAlignment="1">
      <alignment horizontal="right"/>
    </xf>
    <xf numFmtId="0" fontId="129" fillId="0" borderId="8" xfId="0" applyFont="1" applyBorder="1"/>
    <xf numFmtId="0" fontId="129" fillId="0" borderId="9" xfId="0" applyFont="1" applyBorder="1" applyAlignment="1">
      <alignment horizontal="right"/>
    </xf>
    <xf numFmtId="0" fontId="127" fillId="0" borderId="10" xfId="0" applyFont="1" applyBorder="1"/>
    <xf numFmtId="9" fontId="127" fillId="0" borderId="6" xfId="0" applyNumberFormat="1" applyFont="1" applyBorder="1"/>
    <xf numFmtId="0" fontId="127" fillId="0" borderId="6" xfId="0" applyFont="1" applyBorder="1"/>
    <xf numFmtId="2" fontId="127" fillId="0" borderId="0" xfId="0" applyNumberFormat="1" applyFont="1"/>
    <xf numFmtId="170" fontId="139" fillId="0" borderId="0" xfId="1" applyNumberFormat="1" applyFont="1" applyFill="1" applyBorder="1"/>
    <xf numFmtId="170" fontId="127" fillId="0" borderId="0" xfId="0" applyNumberFormat="1" applyFont="1"/>
    <xf numFmtId="9" fontId="140" fillId="0" borderId="0" xfId="1" applyNumberFormat="1" applyFont="1" applyFill="1" applyBorder="1"/>
    <xf numFmtId="0" fontId="127" fillId="3" borderId="0" xfId="0" applyFont="1" applyFill="1" applyAlignment="1">
      <alignment horizontal="left"/>
    </xf>
    <xf numFmtId="4" fontId="127" fillId="0" borderId="0" xfId="0" applyNumberFormat="1" applyFont="1"/>
    <xf numFmtId="0" fontId="127" fillId="0" borderId="14" xfId="0" applyFont="1" applyBorder="1"/>
    <xf numFmtId="3" fontId="127" fillId="0" borderId="14" xfId="0" applyNumberFormat="1" applyFont="1" applyBorder="1"/>
    <xf numFmtId="168" fontId="125" fillId="0" borderId="0" xfId="0" applyNumberFormat="1" applyFont="1"/>
    <xf numFmtId="167" fontId="127" fillId="3" borderId="0" xfId="0" applyNumberFormat="1" applyFont="1" applyFill="1"/>
    <xf numFmtId="170" fontId="0" fillId="0" borderId="0" xfId="0" applyNumberFormat="1"/>
    <xf numFmtId="4" fontId="0" fillId="0" borderId="0" xfId="0" applyNumberFormat="1"/>
    <xf numFmtId="167" fontId="0" fillId="3" borderId="0" xfId="0" applyNumberFormat="1" applyFill="1"/>
    <xf numFmtId="167" fontId="0" fillId="3" borderId="0" xfId="2" applyNumberFormat="1" applyFont="1" applyFill="1"/>
    <xf numFmtId="0" fontId="93" fillId="0" borderId="0" xfId="0" applyFont="1" applyAlignment="1">
      <alignment horizontal="right"/>
    </xf>
    <xf numFmtId="16" fontId="120" fillId="0" borderId="25" xfId="0" applyNumberFormat="1" applyFont="1" applyBorder="1" applyAlignment="1">
      <alignment horizontal="center"/>
    </xf>
    <xf numFmtId="0" fontId="101" fillId="0" borderId="12" xfId="0" applyFont="1" applyBorder="1"/>
    <xf numFmtId="167" fontId="93" fillId="0" borderId="0" xfId="2" applyNumberFormat="1" applyFont="1" applyFill="1" applyBorder="1"/>
    <xf numFmtId="4" fontId="93" fillId="0" borderId="0" xfId="0" applyNumberFormat="1" applyFont="1"/>
    <xf numFmtId="4" fontId="93" fillId="0" borderId="12" xfId="0" applyNumberFormat="1" applyFont="1" applyBorder="1"/>
    <xf numFmtId="9" fontId="93" fillId="0" borderId="12" xfId="2" applyFont="1" applyFill="1" applyBorder="1"/>
    <xf numFmtId="2" fontId="92" fillId="0" borderId="25" xfId="0" applyNumberFormat="1" applyFont="1" applyBorder="1" applyAlignment="1">
      <alignment horizontal="center" vertical="center"/>
    </xf>
    <xf numFmtId="167" fontId="93" fillId="0" borderId="0" xfId="2" applyNumberFormat="1" applyFont="1" applyFill="1" applyAlignment="1">
      <alignment horizontal="center"/>
    </xf>
    <xf numFmtId="9" fontId="93" fillId="0" borderId="0" xfId="2" applyFont="1" applyFill="1" applyAlignment="1">
      <alignment horizontal="center"/>
    </xf>
    <xf numFmtId="3" fontId="93" fillId="0" borderId="0" xfId="2" applyNumberFormat="1" applyFont="1" applyFill="1" applyAlignment="1">
      <alignment horizontal="center"/>
    </xf>
    <xf numFmtId="0" fontId="93" fillId="0" borderId="12" xfId="0" applyFont="1" applyBorder="1" applyAlignment="1">
      <alignment horizontal="left" vertical="center"/>
    </xf>
    <xf numFmtId="9" fontId="93" fillId="0" borderId="12" xfId="2" applyFont="1" applyFill="1" applyBorder="1" applyAlignment="1">
      <alignment horizontal="center"/>
    </xf>
    <xf numFmtId="3" fontId="93" fillId="0" borderId="12" xfId="2" applyNumberFormat="1" applyFont="1" applyFill="1" applyBorder="1" applyAlignment="1">
      <alignment horizontal="center"/>
    </xf>
    <xf numFmtId="3" fontId="92" fillId="0" borderId="0" xfId="2" applyNumberFormat="1" applyFont="1" applyFill="1" applyAlignment="1">
      <alignment horizontal="center"/>
    </xf>
    <xf numFmtId="167" fontId="92" fillId="0" borderId="0" xfId="2" applyNumberFormat="1" applyFont="1" applyFill="1" applyAlignment="1">
      <alignment horizontal="center"/>
    </xf>
    <xf numFmtId="0" fontId="92" fillId="0" borderId="12" xfId="0" applyFont="1" applyBorder="1" applyAlignment="1">
      <alignment horizontal="left" vertical="center"/>
    </xf>
    <xf numFmtId="167" fontId="92" fillId="0" borderId="12" xfId="2" applyNumberFormat="1" applyFont="1" applyFill="1" applyBorder="1" applyAlignment="1">
      <alignment horizontal="center"/>
    </xf>
    <xf numFmtId="0" fontId="38" fillId="0" borderId="0" xfId="0" applyFont="1"/>
    <xf numFmtId="0" fontId="38" fillId="0" borderId="12" xfId="0" applyFont="1" applyBorder="1"/>
    <xf numFmtId="9" fontId="92" fillId="0" borderId="0" xfId="2" applyFont="1" applyFill="1"/>
    <xf numFmtId="2" fontId="93" fillId="0" borderId="0" xfId="0" applyNumberFormat="1" applyFont="1"/>
    <xf numFmtId="3" fontId="121" fillId="0" borderId="0" xfId="2" applyNumberFormat="1" applyFont="1" applyFill="1" applyAlignment="1">
      <alignment horizontal="center"/>
    </xf>
    <xf numFmtId="3" fontId="121" fillId="0" borderId="12" xfId="2" applyNumberFormat="1" applyFont="1" applyFill="1" applyBorder="1" applyAlignment="1">
      <alignment horizontal="center"/>
    </xf>
    <xf numFmtId="167" fontId="121" fillId="0" borderId="0" xfId="2" applyNumberFormat="1" applyFont="1" applyFill="1" applyAlignment="1">
      <alignment horizontal="center"/>
    </xf>
    <xf numFmtId="167" fontId="121" fillId="0" borderId="12" xfId="2" applyNumberFormat="1" applyFont="1" applyFill="1" applyBorder="1" applyAlignment="1">
      <alignment horizontal="center"/>
    </xf>
    <xf numFmtId="1" fontId="93" fillId="0" borderId="12" xfId="2" applyNumberFormat="1" applyFont="1" applyFill="1" applyBorder="1"/>
    <xf numFmtId="9" fontId="93" fillId="0" borderId="0" xfId="2" applyFont="1" applyFill="1" applyBorder="1" applyAlignment="1">
      <alignment horizontal="center"/>
    </xf>
    <xf numFmtId="167" fontId="93" fillId="0" borderId="0" xfId="2" applyNumberFormat="1" applyFont="1" applyFill="1" applyBorder="1" applyAlignment="1">
      <alignment horizontal="center"/>
    </xf>
    <xf numFmtId="167" fontId="92" fillId="0" borderId="0" xfId="2" applyNumberFormat="1" applyFont="1" applyFill="1" applyBorder="1" applyAlignment="1">
      <alignment horizontal="center" vertical="center"/>
    </xf>
    <xf numFmtId="167" fontId="93" fillId="0" borderId="0" xfId="2" applyNumberFormat="1" applyFont="1" applyFill="1" applyBorder="1" applyAlignment="1">
      <alignment horizontal="center" vertical="center"/>
    </xf>
    <xf numFmtId="0" fontId="93" fillId="0" borderId="12" xfId="0" applyFont="1" applyBorder="1" applyAlignment="1">
      <alignment horizontal="left" vertical="center" indent="1"/>
    </xf>
    <xf numFmtId="167" fontId="93" fillId="0" borderId="12" xfId="2" applyNumberFormat="1" applyFont="1" applyFill="1" applyBorder="1" applyAlignment="1">
      <alignment horizontal="center" vertical="center"/>
    </xf>
    <xf numFmtId="1" fontId="92" fillId="0" borderId="0" xfId="2" applyNumberFormat="1" applyFont="1" applyFill="1" applyBorder="1" applyAlignment="1">
      <alignment horizontal="center" vertical="center"/>
    </xf>
    <xf numFmtId="167" fontId="92" fillId="0" borderId="12" xfId="2" applyNumberFormat="1" applyFont="1" applyFill="1" applyBorder="1" applyAlignment="1">
      <alignment horizontal="center" vertical="center"/>
    </xf>
    <xf numFmtId="16" fontId="120" fillId="0" borderId="25" xfId="0" applyNumberFormat="1" applyFont="1" applyBorder="1" applyAlignment="1">
      <alignment horizontal="center" vertical="center"/>
    </xf>
    <xf numFmtId="0" fontId="93" fillId="0" borderId="0" xfId="0" applyFont="1" applyAlignment="1">
      <alignment horizontal="center" vertical="center"/>
    </xf>
    <xf numFmtId="9" fontId="93" fillId="0" borderId="0" xfId="2" applyFont="1" applyFill="1" applyBorder="1" applyAlignment="1">
      <alignment horizontal="center" vertical="center"/>
    </xf>
    <xf numFmtId="0" fontId="93" fillId="0" borderId="12" xfId="0" applyFont="1" applyBorder="1" applyAlignment="1">
      <alignment horizontal="center" vertical="center"/>
    </xf>
    <xf numFmtId="9" fontId="93" fillId="0" borderId="12" xfId="2" applyFont="1" applyFill="1" applyBorder="1" applyAlignment="1">
      <alignment horizontal="center" vertical="center"/>
    </xf>
    <xf numFmtId="0" fontId="37" fillId="0" borderId="0" xfId="0" applyFont="1" applyAlignment="1">
      <alignment horizontal="right"/>
    </xf>
    <xf numFmtId="167" fontId="66" fillId="0" borderId="3" xfId="2" applyNumberFormat="1" applyFont="1" applyBorder="1"/>
    <xf numFmtId="0" fontId="101" fillId="0" borderId="0" xfId="0" applyFont="1" applyAlignment="1">
      <alignment vertical="center" wrapText="1"/>
    </xf>
    <xf numFmtId="170" fontId="93" fillId="0" borderId="0" xfId="0" applyNumberFormat="1" applyFont="1" applyAlignment="1">
      <alignment wrapText="1"/>
    </xf>
    <xf numFmtId="180" fontId="93" fillId="0" borderId="0" xfId="0" applyNumberFormat="1" applyFont="1" applyAlignment="1">
      <alignment wrapText="1"/>
    </xf>
    <xf numFmtId="0" fontId="47" fillId="0" borderId="12" xfId="0" applyFont="1" applyBorder="1" applyAlignment="1">
      <alignment horizontal="right"/>
    </xf>
    <xf numFmtId="0" fontId="42" fillId="0" borderId="12" xfId="0" applyFont="1" applyBorder="1" applyAlignment="1">
      <alignment horizontal="right"/>
    </xf>
    <xf numFmtId="0" fontId="37" fillId="0" borderId="12" xfId="0" applyFont="1" applyBorder="1" applyAlignment="1">
      <alignment horizontal="right"/>
    </xf>
    <xf numFmtId="168" fontId="124" fillId="3" borderId="0" xfId="0" applyNumberFormat="1" applyFont="1" applyFill="1"/>
    <xf numFmtId="0" fontId="124" fillId="0" borderId="0" xfId="0" quotePrefix="1" applyFont="1"/>
    <xf numFmtId="168" fontId="123" fillId="0" borderId="24" xfId="0" applyNumberFormat="1" applyFont="1" applyBorder="1"/>
    <xf numFmtId="181" fontId="78" fillId="0" borderId="0" xfId="3" applyNumberFormat="1" applyFont="1"/>
    <xf numFmtId="167" fontId="139" fillId="0" borderId="0" xfId="0" applyNumberFormat="1" applyFont="1"/>
    <xf numFmtId="167" fontId="129" fillId="0" borderId="0" xfId="0" applyNumberFormat="1" applyFont="1"/>
    <xf numFmtId="16" fontId="128" fillId="0" borderId="0" xfId="0" applyNumberFormat="1" applyFont="1"/>
    <xf numFmtId="167" fontId="124" fillId="15" borderId="0" xfId="0" applyNumberFormat="1" applyFont="1" applyFill="1"/>
    <xf numFmtId="0" fontId="141" fillId="0" borderId="0" xfId="0" applyFont="1" applyAlignment="1">
      <alignment horizontal="left" vertical="center"/>
    </xf>
    <xf numFmtId="0" fontId="141" fillId="0" borderId="0" xfId="0" applyFont="1" applyAlignment="1">
      <alignment horizontal="right" vertical="center"/>
    </xf>
    <xf numFmtId="9" fontId="141" fillId="0" borderId="0" xfId="0" applyNumberFormat="1" applyFont="1" applyAlignment="1">
      <alignment horizontal="right" vertical="center"/>
    </xf>
    <xf numFmtId="9" fontId="93" fillId="0" borderId="0" xfId="2" applyFont="1" applyAlignment="1">
      <alignment horizontal="right"/>
    </xf>
    <xf numFmtId="0" fontId="93" fillId="0" borderId="12" xfId="0" applyFont="1" applyBorder="1" applyAlignment="1">
      <alignment horizontal="right"/>
    </xf>
    <xf numFmtId="170" fontId="93" fillId="0" borderId="12" xfId="0" applyNumberFormat="1" applyFont="1" applyBorder="1" applyAlignment="1">
      <alignment horizontal="right"/>
    </xf>
    <xf numFmtId="9" fontId="93" fillId="0" borderId="12" xfId="2" applyFont="1" applyBorder="1" applyAlignment="1">
      <alignment horizontal="right"/>
    </xf>
    <xf numFmtId="0" fontId="36" fillId="0" borderId="0" xfId="0" applyFont="1" applyAlignment="1">
      <alignment horizontal="right"/>
    </xf>
    <xf numFmtId="0" fontId="129" fillId="0" borderId="0" xfId="25" applyFont="1"/>
    <xf numFmtId="0" fontId="127" fillId="0" borderId="0" xfId="25" applyFont="1"/>
    <xf numFmtId="0" fontId="129" fillId="0" borderId="0" xfId="25" applyFont="1" applyAlignment="1">
      <alignment horizontal="right"/>
    </xf>
    <xf numFmtId="0" fontId="127" fillId="13" borderId="0" xfId="25" applyFont="1" applyFill="1"/>
    <xf numFmtId="0" fontId="127" fillId="13" borderId="14" xfId="25" applyFont="1" applyFill="1" applyBorder="1"/>
    <xf numFmtId="167" fontId="127" fillId="13" borderId="14" xfId="26" applyNumberFormat="1" applyFont="1" applyFill="1" applyBorder="1"/>
    <xf numFmtId="167" fontId="127" fillId="0" borderId="0" xfId="26" applyNumberFormat="1" applyFont="1"/>
    <xf numFmtId="167" fontId="127" fillId="13" borderId="0" xfId="26" applyNumberFormat="1" applyFont="1" applyFill="1"/>
    <xf numFmtId="167" fontId="127" fillId="0" borderId="0" xfId="26" applyNumberFormat="1" applyFont="1" applyAlignment="1">
      <alignment horizontal="right"/>
    </xf>
    <xf numFmtId="9" fontId="93" fillId="0" borderId="0" xfId="0" applyNumberFormat="1" applyFont="1" applyAlignment="1">
      <alignment wrapText="1"/>
    </xf>
    <xf numFmtId="9" fontId="66" fillId="0" borderId="3" xfId="2" applyFont="1" applyBorder="1"/>
    <xf numFmtId="0" fontId="129" fillId="16" borderId="12" xfId="0" applyFont="1" applyFill="1" applyBorder="1"/>
    <xf numFmtId="0" fontId="127" fillId="16" borderId="0" xfId="0" applyFont="1" applyFill="1" applyAlignment="1">
      <alignment horizontal="left"/>
    </xf>
    <xf numFmtId="3" fontId="127" fillId="16" borderId="0" xfId="0" applyNumberFormat="1" applyFont="1" applyFill="1"/>
    <xf numFmtId="167" fontId="127" fillId="16" borderId="0" xfId="0" applyNumberFormat="1" applyFont="1" applyFill="1"/>
    <xf numFmtId="0" fontId="127" fillId="16" borderId="0" xfId="0" applyFont="1" applyFill="1"/>
    <xf numFmtId="0" fontId="129" fillId="16" borderId="0" xfId="0" applyFont="1" applyFill="1"/>
    <xf numFmtId="3" fontId="129" fillId="16" borderId="0" xfId="0" applyNumberFormat="1" applyFont="1" applyFill="1"/>
    <xf numFmtId="167" fontId="129" fillId="16" borderId="0" xfId="0" applyNumberFormat="1" applyFont="1" applyFill="1"/>
    <xf numFmtId="3" fontId="127" fillId="16" borderId="12" xfId="0" applyNumberFormat="1" applyFont="1" applyFill="1" applyBorder="1"/>
    <xf numFmtId="167" fontId="127" fillId="16" borderId="12" xfId="0" applyNumberFormat="1" applyFont="1" applyFill="1" applyBorder="1"/>
    <xf numFmtId="1" fontId="127" fillId="16" borderId="0" xfId="0" applyNumberFormat="1" applyFont="1" applyFill="1"/>
    <xf numFmtId="0" fontId="127" fillId="16" borderId="0" xfId="0" applyFont="1" applyFill="1" applyAlignment="1">
      <alignment horizontal="left" indent="1"/>
    </xf>
    <xf numFmtId="0" fontId="127" fillId="16" borderId="12" xfId="0" applyFont="1" applyFill="1" applyBorder="1"/>
    <xf numFmtId="1" fontId="127" fillId="16" borderId="12" xfId="0" applyNumberFormat="1" applyFont="1" applyFill="1" applyBorder="1"/>
    <xf numFmtId="4" fontId="129" fillId="16" borderId="12" xfId="0" applyNumberFormat="1" applyFont="1" applyFill="1" applyBorder="1"/>
    <xf numFmtId="170" fontId="129" fillId="16" borderId="12" xfId="0" applyNumberFormat="1" applyFont="1" applyFill="1" applyBorder="1"/>
    <xf numFmtId="0" fontId="129" fillId="0" borderId="0" xfId="0" applyFont="1" applyAlignment="1">
      <alignment horizontal="center"/>
    </xf>
    <xf numFmtId="3" fontId="139" fillId="0" borderId="0" xfId="0" applyNumberFormat="1" applyFont="1"/>
    <xf numFmtId="0" fontId="139" fillId="0" borderId="0" xfId="0" applyFont="1"/>
    <xf numFmtId="180" fontId="142" fillId="0" borderId="0" xfId="0" applyNumberFormat="1" applyFont="1" applyAlignment="1">
      <alignment wrapText="1"/>
    </xf>
    <xf numFmtId="3" fontId="0" fillId="0" borderId="12" xfId="0" applyNumberFormat="1" applyBorder="1"/>
    <xf numFmtId="3" fontId="105" fillId="0" borderId="0" xfId="0" applyNumberFormat="1" applyFont="1" applyAlignment="1">
      <alignment wrapText="1"/>
    </xf>
    <xf numFmtId="3" fontId="105" fillId="0" borderId="12" xfId="0" applyNumberFormat="1" applyFont="1" applyBorder="1" applyAlignment="1">
      <alignment wrapText="1"/>
    </xf>
    <xf numFmtId="0" fontId="139" fillId="16" borderId="0" xfId="0" applyFont="1" applyFill="1"/>
    <xf numFmtId="3" fontId="139" fillId="16" borderId="0" xfId="0" applyNumberFormat="1" applyFont="1" applyFill="1"/>
    <xf numFmtId="0" fontId="34" fillId="0" borderId="0" xfId="0" applyFont="1"/>
    <xf numFmtId="0" fontId="127" fillId="16" borderId="7" xfId="0" applyFont="1" applyFill="1" applyBorder="1"/>
    <xf numFmtId="0" fontId="127" fillId="16" borderId="8" xfId="0" applyFont="1" applyFill="1" applyBorder="1"/>
    <xf numFmtId="3" fontId="127" fillId="16" borderId="8" xfId="0" applyNumberFormat="1" applyFont="1" applyFill="1" applyBorder="1"/>
    <xf numFmtId="168" fontId="127" fillId="16" borderId="8" xfId="0" applyNumberFormat="1" applyFont="1" applyFill="1" applyBorder="1"/>
    <xf numFmtId="3" fontId="139" fillId="16" borderId="8" xfId="1" applyNumberFormat="1" applyFont="1" applyFill="1" applyBorder="1"/>
    <xf numFmtId="9" fontId="127" fillId="16" borderId="9" xfId="0" applyNumberFormat="1" applyFont="1" applyFill="1" applyBorder="1"/>
    <xf numFmtId="0" fontId="127" fillId="16" borderId="10" xfId="0" applyFont="1" applyFill="1" applyBorder="1"/>
    <xf numFmtId="0" fontId="127" fillId="16" borderId="6" xfId="0" applyFont="1" applyFill="1" applyBorder="1"/>
    <xf numFmtId="0" fontId="129" fillId="16" borderId="10" xfId="0" applyFont="1" applyFill="1" applyBorder="1"/>
    <xf numFmtId="170" fontId="140" fillId="16" borderId="0" xfId="1" applyNumberFormat="1" applyFont="1" applyFill="1" applyBorder="1"/>
    <xf numFmtId="0" fontId="129" fillId="16" borderId="11" xfId="0" applyFont="1" applyFill="1" applyBorder="1"/>
    <xf numFmtId="9" fontId="140" fillId="16" borderId="12" xfId="1" applyNumberFormat="1" applyFont="1" applyFill="1" applyBorder="1"/>
    <xf numFmtId="0" fontId="127" fillId="16" borderId="13" xfId="0" applyFont="1" applyFill="1" applyBorder="1"/>
    <xf numFmtId="0" fontId="33" fillId="0" borderId="0" xfId="0" quotePrefix="1" applyFont="1" applyAlignment="1">
      <alignment horizontal="left" indent="1"/>
    </xf>
    <xf numFmtId="9" fontId="85" fillId="0" borderId="0" xfId="0" applyNumberFormat="1" applyFont="1"/>
    <xf numFmtId="0" fontId="32" fillId="0" borderId="0" xfId="0" applyFont="1" applyAlignment="1">
      <alignment horizontal="right"/>
    </xf>
    <xf numFmtId="0" fontId="32" fillId="0" borderId="0" xfId="0" applyFont="1"/>
    <xf numFmtId="0" fontId="32" fillId="0" borderId="0" xfId="0" quotePrefix="1" applyFont="1" applyAlignment="1">
      <alignment horizontal="left" indent="1"/>
    </xf>
    <xf numFmtId="0" fontId="143" fillId="0" borderId="0" xfId="0" quotePrefix="1" applyFont="1" applyAlignment="1">
      <alignment horizontal="left" indent="1"/>
    </xf>
    <xf numFmtId="0" fontId="32" fillId="0" borderId="0" xfId="0" applyFont="1" applyAlignment="1">
      <alignment horizontal="left" indent="1"/>
    </xf>
    <xf numFmtId="4" fontId="93" fillId="0" borderId="0" xfId="0" applyNumberFormat="1" applyFont="1" applyAlignment="1">
      <alignment wrapText="1"/>
    </xf>
    <xf numFmtId="0" fontId="144" fillId="0" borderId="0" xfId="0" applyFont="1" applyAlignment="1">
      <alignment horizontal="right"/>
    </xf>
    <xf numFmtId="0" fontId="144" fillId="0" borderId="0" xfId="6" applyFont="1"/>
    <xf numFmtId="0" fontId="144" fillId="0" borderId="0" xfId="6" applyFont="1" applyAlignment="1">
      <alignment horizontal="right"/>
    </xf>
    <xf numFmtId="178" fontId="146" fillId="0" borderId="0" xfId="6" applyNumberFormat="1" applyFont="1"/>
    <xf numFmtId="179" fontId="145" fillId="0" borderId="0" xfId="0" applyNumberFormat="1" applyFont="1"/>
    <xf numFmtId="0" fontId="145" fillId="0" borderId="0" xfId="6" applyFont="1"/>
    <xf numFmtId="179" fontId="145" fillId="0" borderId="0" xfId="6" applyNumberFormat="1" applyFont="1"/>
    <xf numFmtId="0" fontId="145" fillId="0" borderId="12" xfId="6" applyFont="1" applyBorder="1"/>
    <xf numFmtId="179" fontId="145" fillId="0" borderId="12" xfId="6" applyNumberFormat="1" applyFont="1" applyBorder="1"/>
    <xf numFmtId="179" fontId="144" fillId="0" borderId="0" xfId="6" applyNumberFormat="1" applyFont="1"/>
    <xf numFmtId="9" fontId="145" fillId="0" borderId="0" xfId="2" applyFont="1" applyFill="1"/>
    <xf numFmtId="0" fontId="128" fillId="0" borderId="26" xfId="0" applyFont="1" applyBorder="1"/>
    <xf numFmtId="0" fontId="128" fillId="0" borderId="26" xfId="0" applyFont="1" applyBorder="1" applyAlignment="1">
      <alignment horizontal="right"/>
    </xf>
    <xf numFmtId="0" fontId="124" fillId="13" borderId="14" xfId="0" applyFont="1" applyFill="1" applyBorder="1"/>
    <xf numFmtId="168" fontId="124" fillId="13" borderId="14" xfId="0" applyNumberFormat="1" applyFont="1" applyFill="1" applyBorder="1" applyAlignment="1">
      <alignment horizontal="right"/>
    </xf>
    <xf numFmtId="168" fontId="124" fillId="0" borderId="0" xfId="0" applyNumberFormat="1" applyFont="1" applyAlignment="1">
      <alignment horizontal="right"/>
    </xf>
    <xf numFmtId="0" fontId="124" fillId="13" borderId="0" xfId="0" applyFont="1" applyFill="1"/>
    <xf numFmtId="168" fontId="124" fillId="13" borderId="0" xfId="0" applyNumberFormat="1" applyFont="1" applyFill="1" applyAlignment="1">
      <alignment horizontal="right"/>
    </xf>
    <xf numFmtId="0" fontId="138" fillId="13" borderId="0" xfId="0" applyFont="1" applyFill="1"/>
    <xf numFmtId="0" fontId="124" fillId="13" borderId="0" xfId="0" applyFont="1" applyFill="1" applyAlignment="1">
      <alignment horizontal="left" indent="1"/>
    </xf>
    <xf numFmtId="168" fontId="138" fillId="0" borderId="0" xfId="0" applyNumberFormat="1" applyFont="1" applyAlignment="1">
      <alignment horizontal="right"/>
    </xf>
    <xf numFmtId="3" fontId="124" fillId="13" borderId="0" xfId="0" applyNumberFormat="1" applyFont="1" applyFill="1"/>
    <xf numFmtId="3" fontId="124" fillId="13" borderId="0" xfId="0" applyNumberFormat="1" applyFont="1" applyFill="1" applyAlignment="1">
      <alignment horizontal="right"/>
    </xf>
    <xf numFmtId="3" fontId="124" fillId="0" borderId="0" xfId="0" applyNumberFormat="1" applyFont="1" applyAlignment="1">
      <alignment horizontal="right"/>
    </xf>
    <xf numFmtId="3" fontId="128" fillId="13" borderId="0" xfId="0" applyNumberFormat="1" applyFont="1" applyFill="1"/>
    <xf numFmtId="3" fontId="128" fillId="13" borderId="0" xfId="0" applyNumberFormat="1" applyFont="1" applyFill="1" applyAlignment="1">
      <alignment horizontal="right"/>
    </xf>
    <xf numFmtId="3" fontId="128" fillId="0" borderId="0" xfId="0" applyNumberFormat="1" applyFont="1"/>
    <xf numFmtId="3" fontId="128" fillId="0" borderId="0" xfId="0" applyNumberFormat="1" applyFont="1" applyAlignment="1">
      <alignment horizontal="right"/>
    </xf>
    <xf numFmtId="168" fontId="138" fillId="13" borderId="0" xfId="0" applyNumberFormat="1" applyFont="1" applyFill="1" applyAlignment="1">
      <alignment horizontal="right"/>
    </xf>
    <xf numFmtId="167" fontId="124" fillId="0" borderId="0" xfId="2" applyNumberFormat="1" applyFont="1" applyAlignment="1">
      <alignment horizontal="right"/>
    </xf>
    <xf numFmtId="167" fontId="124" fillId="13" borderId="0" xfId="2" applyNumberFormat="1" applyFont="1" applyFill="1" applyAlignment="1">
      <alignment horizontal="right"/>
    </xf>
    <xf numFmtId="0" fontId="138" fillId="0" borderId="0" xfId="17" applyFont="1"/>
    <xf numFmtId="168" fontId="138" fillId="0" borderId="0" xfId="17" applyNumberFormat="1" applyFont="1" applyAlignment="1">
      <alignment horizontal="right"/>
    </xf>
    <xf numFmtId="167" fontId="145" fillId="0" borderId="0" xfId="6" applyNumberFormat="1" applyFont="1"/>
    <xf numFmtId="0" fontId="124" fillId="0" borderId="0" xfId="0" applyFont="1" applyAlignment="1">
      <alignment horizontal="right"/>
    </xf>
    <xf numFmtId="3" fontId="124" fillId="0" borderId="12" xfId="0" applyNumberFormat="1" applyFont="1" applyBorder="1"/>
    <xf numFmtId="0" fontId="128" fillId="0" borderId="19" xfId="0" applyFont="1" applyBorder="1"/>
    <xf numFmtId="3" fontId="128" fillId="0" borderId="3" xfId="0" applyNumberFormat="1" applyFont="1" applyBorder="1"/>
    <xf numFmtId="167" fontId="128" fillId="0" borderId="3" xfId="0" applyNumberFormat="1" applyFont="1" applyBorder="1"/>
    <xf numFmtId="0" fontId="128" fillId="0" borderId="21" xfId="0" applyFont="1" applyBorder="1"/>
    <xf numFmtId="0" fontId="128" fillId="0" borderId="1" xfId="0" applyFont="1" applyBorder="1"/>
    <xf numFmtId="167" fontId="128" fillId="0" borderId="1" xfId="0" applyNumberFormat="1" applyFont="1" applyBorder="1"/>
    <xf numFmtId="1" fontId="31" fillId="0" borderId="0" xfId="0" applyNumberFormat="1" applyFont="1"/>
    <xf numFmtId="0" fontId="81" fillId="0" borderId="0" xfId="0" quotePrefix="1" applyFont="1" applyAlignment="1">
      <alignment horizontal="left" indent="2"/>
    </xf>
    <xf numFmtId="0" fontId="30" fillId="0" borderId="0" xfId="0" quotePrefix="1" applyFont="1" applyAlignment="1">
      <alignment horizontal="left" indent="1"/>
    </xf>
    <xf numFmtId="167" fontId="147" fillId="0" borderId="0" xfId="2" applyNumberFormat="1" applyFont="1" applyBorder="1"/>
    <xf numFmtId="9" fontId="149" fillId="0" borderId="0" xfId="0" applyNumberFormat="1" applyFont="1"/>
    <xf numFmtId="167" fontId="149" fillId="0" borderId="0" xfId="2" applyNumberFormat="1" applyFont="1" applyBorder="1"/>
    <xf numFmtId="167" fontId="150" fillId="0" borderId="0" xfId="2" applyNumberFormat="1" applyFont="1" applyBorder="1"/>
    <xf numFmtId="0" fontId="143" fillId="0" borderId="0" xfId="0" applyFont="1"/>
    <xf numFmtId="167" fontId="85" fillId="0" borderId="0" xfId="0" applyNumberFormat="1" applyFont="1"/>
    <xf numFmtId="0" fontId="30" fillId="0" borderId="0" xfId="0" applyFont="1"/>
    <xf numFmtId="1" fontId="30" fillId="0" borderId="0" xfId="0" applyNumberFormat="1" applyFont="1"/>
    <xf numFmtId="0" fontId="30" fillId="0" borderId="0" xfId="0" applyFont="1" applyAlignment="1">
      <alignment horizontal="left" indent="2"/>
    </xf>
    <xf numFmtId="0" fontId="30" fillId="0" borderId="0" xfId="0" applyFont="1" applyAlignment="1">
      <alignment horizontal="left" indent="1"/>
    </xf>
    <xf numFmtId="170" fontId="151" fillId="0" borderId="0" xfId="0" applyNumberFormat="1" applyFont="1"/>
    <xf numFmtId="170" fontId="30" fillId="0" borderId="0" xfId="0" applyNumberFormat="1" applyFont="1"/>
    <xf numFmtId="0" fontId="30" fillId="0" borderId="0" xfId="0" applyFont="1" applyAlignment="1">
      <alignment horizontal="left"/>
    </xf>
    <xf numFmtId="0" fontId="30" fillId="0" borderId="0" xfId="0" applyFont="1" applyAlignment="1">
      <alignment horizontal="left" indent="3"/>
    </xf>
    <xf numFmtId="9" fontId="30" fillId="0" borderId="0" xfId="2" applyFont="1" applyFill="1"/>
    <xf numFmtId="9" fontId="30" fillId="0" borderId="0" xfId="2" applyFont="1" applyFill="1" applyBorder="1"/>
    <xf numFmtId="168" fontId="67" fillId="3" borderId="0" xfId="0" applyNumberFormat="1" applyFont="1" applyFill="1"/>
    <xf numFmtId="168" fontId="85" fillId="7" borderId="0" xfId="0" applyNumberFormat="1" applyFont="1" applyFill="1"/>
    <xf numFmtId="9" fontId="67" fillId="3" borderId="0" xfId="2" applyFont="1" applyFill="1"/>
    <xf numFmtId="9" fontId="67" fillId="3" borderId="0" xfId="2" applyFont="1" applyFill="1" applyBorder="1"/>
    <xf numFmtId="9" fontId="30" fillId="0" borderId="0" xfId="2" applyFont="1"/>
    <xf numFmtId="9" fontId="30" fillId="0" borderId="0" xfId="2" applyFont="1" applyBorder="1"/>
    <xf numFmtId="9" fontId="67" fillId="0" borderId="0" xfId="2" applyFont="1"/>
    <xf numFmtId="167" fontId="30" fillId="0" borderId="0" xfId="2" applyNumberFormat="1" applyFont="1"/>
    <xf numFmtId="9" fontId="151" fillId="0" borderId="0" xfId="0" applyNumberFormat="1" applyFont="1"/>
    <xf numFmtId="167" fontId="30" fillId="0" borderId="0" xfId="2" applyNumberFormat="1" applyFont="1" applyBorder="1"/>
    <xf numFmtId="3" fontId="30" fillId="0" borderId="0" xfId="0" applyNumberFormat="1" applyFont="1"/>
    <xf numFmtId="9" fontId="30" fillId="0" borderId="0" xfId="0" applyNumberFormat="1" applyFont="1"/>
    <xf numFmtId="167" fontId="30" fillId="0" borderId="0" xfId="2" applyNumberFormat="1" applyFont="1" applyFill="1"/>
    <xf numFmtId="2" fontId="30" fillId="0" borderId="0" xfId="0" applyNumberFormat="1" applyFont="1" applyAlignment="1">
      <alignment horizontal="center"/>
    </xf>
    <xf numFmtId="0" fontId="30" fillId="0" borderId="0" xfId="0" applyFont="1" applyAlignment="1">
      <alignment horizontal="center"/>
    </xf>
    <xf numFmtId="167" fontId="67" fillId="3" borderId="0" xfId="2" applyNumberFormat="1" applyFont="1" applyFill="1" applyAlignment="1"/>
    <xf numFmtId="167" fontId="85" fillId="0" borderId="0" xfId="2" applyNumberFormat="1" applyFont="1" applyFill="1" applyAlignment="1"/>
    <xf numFmtId="167" fontId="85" fillId="0" borderId="0" xfId="2" applyNumberFormat="1" applyFont="1" applyFill="1" applyBorder="1" applyAlignment="1"/>
    <xf numFmtId="167" fontId="67" fillId="0" borderId="0" xfId="2" applyNumberFormat="1" applyFont="1" applyFill="1" applyAlignment="1"/>
    <xf numFmtId="4" fontId="30" fillId="0" borderId="0" xfId="0" applyNumberFormat="1" applyFont="1"/>
    <xf numFmtId="9" fontId="67" fillId="0" borderId="0" xfId="2" applyFont="1" applyFill="1" applyBorder="1" applyAlignment="1"/>
    <xf numFmtId="9" fontId="30" fillId="0" borderId="0" xfId="0" applyNumberFormat="1" applyFont="1" applyAlignment="1">
      <alignment horizontal="right"/>
    </xf>
    <xf numFmtId="9" fontId="85" fillId="0" borderId="0" xfId="2" applyFont="1" applyFill="1" applyBorder="1" applyAlignment="1"/>
    <xf numFmtId="2" fontId="85" fillId="0" borderId="0" xfId="0" applyNumberFormat="1" applyFont="1"/>
    <xf numFmtId="9" fontId="67" fillId="0" borderId="0" xfId="2" applyFont="1" applyFill="1"/>
    <xf numFmtId="167" fontId="67" fillId="0" borderId="0" xfId="2" applyNumberFormat="1" applyFont="1" applyFill="1" applyBorder="1" applyAlignment="1"/>
    <xf numFmtId="167" fontId="30" fillId="0" borderId="0" xfId="0" applyNumberFormat="1" applyFont="1" applyAlignment="1">
      <alignment horizontal="right"/>
    </xf>
    <xf numFmtId="9" fontId="67" fillId="0" borderId="0" xfId="2" applyFont="1" applyFill="1" applyAlignment="1"/>
    <xf numFmtId="167" fontId="67" fillId="0" borderId="0" xfId="2" applyNumberFormat="1" applyFont="1" applyFill="1" applyBorder="1" applyAlignment="1">
      <alignment horizontal="right"/>
    </xf>
    <xf numFmtId="10" fontId="30" fillId="0" borderId="0" xfId="0" applyNumberFormat="1" applyFont="1" applyAlignment="1">
      <alignment horizontal="center"/>
    </xf>
    <xf numFmtId="167" fontId="30" fillId="0" borderId="0" xfId="2" applyNumberFormat="1" applyFont="1" applyFill="1" applyBorder="1"/>
    <xf numFmtId="10" fontId="30" fillId="0" borderId="0" xfId="2" applyNumberFormat="1" applyFont="1" applyFill="1"/>
    <xf numFmtId="10" fontId="67" fillId="0" borderId="0" xfId="2" applyNumberFormat="1" applyFont="1" applyFill="1" applyBorder="1"/>
    <xf numFmtId="167" fontId="85" fillId="7" borderId="0" xfId="2" applyNumberFormat="1" applyFont="1" applyFill="1" applyAlignment="1"/>
    <xf numFmtId="167" fontId="85" fillId="7" borderId="0" xfId="2" applyNumberFormat="1" applyFont="1" applyFill="1" applyBorder="1" applyAlignment="1"/>
    <xf numFmtId="9" fontId="67" fillId="7" borderId="0" xfId="2" applyFont="1" applyFill="1" applyBorder="1" applyAlignment="1"/>
    <xf numFmtId="167" fontId="86" fillId="0" borderId="0" xfId="2" applyNumberFormat="1" applyFont="1" applyFill="1" applyAlignment="1"/>
    <xf numFmtId="167" fontId="86" fillId="0" borderId="0" xfId="2" applyNumberFormat="1" applyFont="1" applyFill="1" applyBorder="1" applyAlignment="1"/>
    <xf numFmtId="170" fontId="68" fillId="0" borderId="0" xfId="0" applyNumberFormat="1" applyFont="1"/>
    <xf numFmtId="167" fontId="86" fillId="7" borderId="0" xfId="2" applyNumberFormat="1" applyFont="1" applyFill="1" applyBorder="1" applyAlignment="1"/>
    <xf numFmtId="1" fontId="30" fillId="0" borderId="0" xfId="2" applyNumberFormat="1" applyFont="1" applyFill="1"/>
    <xf numFmtId="1" fontId="30" fillId="0" borderId="0" xfId="2" applyNumberFormat="1" applyFont="1" applyFill="1" applyBorder="1"/>
    <xf numFmtId="10" fontId="30" fillId="0" borderId="0" xfId="2" applyNumberFormat="1" applyFont="1" applyFill="1" applyBorder="1"/>
    <xf numFmtId="167" fontId="67" fillId="0" borderId="0" xfId="2" applyNumberFormat="1" applyFont="1" applyFill="1" applyBorder="1"/>
    <xf numFmtId="9" fontId="67" fillId="0" borderId="0" xfId="2" applyFont="1" applyBorder="1"/>
    <xf numFmtId="4" fontId="30" fillId="0" borderId="0" xfId="2" applyNumberFormat="1" applyFont="1" applyFill="1"/>
    <xf numFmtId="10" fontId="30" fillId="0" borderId="0" xfId="2" applyNumberFormat="1" applyFont="1" applyBorder="1"/>
    <xf numFmtId="169" fontId="30" fillId="0" borderId="0" xfId="2" applyNumberFormat="1" applyFont="1" applyBorder="1"/>
    <xf numFmtId="9" fontId="67" fillId="0" borderId="0" xfId="6" applyNumberFormat="1" applyFont="1"/>
    <xf numFmtId="9" fontId="85" fillId="0" borderId="0" xfId="2" applyFont="1" applyFill="1" applyBorder="1"/>
    <xf numFmtId="9" fontId="85" fillId="0" borderId="0" xfId="2" applyFont="1" applyFill="1"/>
    <xf numFmtId="168" fontId="85" fillId="0" borderId="0" xfId="2" applyNumberFormat="1" applyFont="1" applyFill="1" applyBorder="1"/>
    <xf numFmtId="167" fontId="86" fillId="0" borderId="0" xfId="2" applyNumberFormat="1" applyFont="1" applyFill="1"/>
    <xf numFmtId="167" fontId="86" fillId="0" borderId="0" xfId="2" applyNumberFormat="1" applyFont="1" applyFill="1" applyBorder="1"/>
    <xf numFmtId="167" fontId="148" fillId="0" borderId="0" xfId="2" applyNumberFormat="1" applyFont="1" applyFill="1" applyBorder="1"/>
    <xf numFmtId="167" fontId="148" fillId="0" borderId="0" xfId="2" applyNumberFormat="1" applyFont="1" applyFill="1"/>
    <xf numFmtId="10" fontId="86" fillId="0" borderId="0" xfId="2" applyNumberFormat="1" applyFont="1" applyFill="1"/>
    <xf numFmtId="10" fontId="86" fillId="0" borderId="0" xfId="2" applyNumberFormat="1" applyFont="1" applyFill="1" applyBorder="1"/>
    <xf numFmtId="10" fontId="85" fillId="0" borderId="0" xfId="2" applyNumberFormat="1" applyFont="1" applyFill="1" applyBorder="1"/>
    <xf numFmtId="10" fontId="67" fillId="0" borderId="0" xfId="2" applyNumberFormat="1" applyFont="1" applyFill="1"/>
    <xf numFmtId="0" fontId="67" fillId="3" borderId="0" xfId="2" applyNumberFormat="1" applyFont="1" applyFill="1" applyBorder="1"/>
    <xf numFmtId="1" fontId="67" fillId="3" borderId="0" xfId="2" applyNumberFormat="1" applyFont="1" applyFill="1" applyBorder="1"/>
    <xf numFmtId="10" fontId="85" fillId="0" borderId="0" xfId="2" applyNumberFormat="1" applyFont="1" applyBorder="1"/>
    <xf numFmtId="10" fontId="85" fillId="0" borderId="0" xfId="2" applyNumberFormat="1" applyFont="1"/>
    <xf numFmtId="1" fontId="85" fillId="0" borderId="12" xfId="0" applyNumberFormat="1" applyFont="1" applyBorder="1"/>
    <xf numFmtId="1" fontId="30" fillId="0" borderId="12" xfId="0" applyNumberFormat="1" applyFont="1" applyBorder="1"/>
    <xf numFmtId="0" fontId="30" fillId="0" borderId="12" xfId="0" applyFont="1" applyBorder="1" applyAlignment="1">
      <alignment horizontal="left" indent="1"/>
    </xf>
    <xf numFmtId="0" fontId="30" fillId="0" borderId="12" xfId="0" applyFont="1" applyBorder="1" applyAlignment="1">
      <alignment horizontal="left" indent="3"/>
    </xf>
    <xf numFmtId="2" fontId="30" fillId="0" borderId="0" xfId="0" applyNumberFormat="1" applyFont="1" applyAlignment="1">
      <alignment horizontal="right"/>
    </xf>
    <xf numFmtId="2" fontId="152" fillId="0" borderId="0" xfId="0" applyNumberFormat="1" applyFont="1"/>
    <xf numFmtId="0" fontId="29" fillId="0" borderId="0" xfId="0" quotePrefix="1" applyFont="1" applyAlignment="1">
      <alignment horizontal="left" indent="1"/>
    </xf>
    <xf numFmtId="168" fontId="151" fillId="0" borderId="0" xfId="0" applyNumberFormat="1" applyFont="1"/>
    <xf numFmtId="0" fontId="28" fillId="0" borderId="0" xfId="0" applyFont="1" applyAlignment="1">
      <alignment horizontal="left" indent="2"/>
    </xf>
    <xf numFmtId="0" fontId="28" fillId="0" borderId="0" xfId="0" applyFont="1"/>
    <xf numFmtId="0" fontId="28" fillId="0" borderId="0" xfId="0" applyFont="1" applyAlignment="1">
      <alignment horizontal="left" indent="1"/>
    </xf>
    <xf numFmtId="0" fontId="27" fillId="0" borderId="0" xfId="0" applyFont="1" applyAlignment="1">
      <alignment horizontal="left" indent="2"/>
    </xf>
    <xf numFmtId="0" fontId="27" fillId="0" borderId="0" xfId="0" quotePrefix="1" applyFont="1" applyAlignment="1">
      <alignment horizontal="left" indent="1"/>
    </xf>
    <xf numFmtId="1" fontId="114" fillId="3" borderId="0" xfId="0" applyNumberFormat="1" applyFont="1" applyFill="1"/>
    <xf numFmtId="0" fontId="26" fillId="0" borderId="1" xfId="0" applyFont="1" applyBorder="1" applyAlignment="1">
      <alignment horizontal="left" indent="1"/>
    </xf>
    <xf numFmtId="1" fontId="26" fillId="0" borderId="1" xfId="0" applyNumberFormat="1" applyFont="1" applyBorder="1"/>
    <xf numFmtId="17" fontId="115" fillId="0" borderId="0" xfId="0" applyNumberFormat="1" applyFont="1" applyAlignment="1">
      <alignment horizontal="left"/>
    </xf>
    <xf numFmtId="0" fontId="96" fillId="0" borderId="0" xfId="0" applyFont="1" applyAlignment="1">
      <alignment horizontal="right"/>
    </xf>
    <xf numFmtId="15" fontId="0" fillId="0" borderId="0" xfId="0" applyNumberFormat="1" applyAlignment="1">
      <alignment horizontal="left"/>
    </xf>
    <xf numFmtId="167" fontId="93" fillId="0" borderId="0" xfId="0" applyNumberFormat="1" applyFont="1" applyAlignment="1">
      <alignment wrapText="1"/>
    </xf>
    <xf numFmtId="9" fontId="142" fillId="0" borderId="0" xfId="0" applyNumberFormat="1" applyFont="1" applyAlignment="1">
      <alignment wrapText="1"/>
    </xf>
    <xf numFmtId="0" fontId="25" fillId="0" borderId="0" xfId="0" applyFont="1"/>
    <xf numFmtId="9" fontId="145" fillId="0" borderId="0" xfId="0" applyNumberFormat="1" applyFont="1"/>
    <xf numFmtId="9" fontId="145" fillId="0" borderId="0" xfId="6" applyNumberFormat="1" applyFont="1"/>
    <xf numFmtId="9" fontId="145" fillId="0" borderId="12" xfId="6" applyNumberFormat="1" applyFont="1" applyBorder="1"/>
    <xf numFmtId="9" fontId="144" fillId="0" borderId="0" xfId="6" applyNumberFormat="1" applyFont="1"/>
    <xf numFmtId="179" fontId="145" fillId="0" borderId="29" xfId="0" applyNumberFormat="1" applyFont="1" applyBorder="1"/>
    <xf numFmtId="179" fontId="145" fillId="0" borderId="29" xfId="6" applyNumberFormat="1" applyFont="1" applyBorder="1"/>
    <xf numFmtId="179" fontId="145" fillId="0" borderId="31" xfId="6" applyNumberFormat="1" applyFont="1" applyBorder="1"/>
    <xf numFmtId="179" fontId="144" fillId="0" borderId="29" xfId="6" applyNumberFormat="1" applyFont="1" applyBorder="1"/>
    <xf numFmtId="9" fontId="145" fillId="0" borderId="29" xfId="2" applyFont="1" applyFill="1" applyBorder="1"/>
    <xf numFmtId="167" fontId="145" fillId="0" borderId="29" xfId="6" applyNumberFormat="1" applyFont="1" applyBorder="1"/>
    <xf numFmtId="0" fontId="153" fillId="0" borderId="0" xfId="0" applyFont="1"/>
    <xf numFmtId="0" fontId="154" fillId="0" borderId="0" xfId="0" applyFont="1"/>
    <xf numFmtId="16" fontId="129" fillId="0" borderId="25" xfId="0" applyNumberFormat="1" applyFont="1" applyBorder="1" applyAlignment="1">
      <alignment horizontal="right"/>
    </xf>
    <xf numFmtId="0" fontId="24" fillId="0" borderId="0" xfId="0" applyFont="1" applyAlignment="1">
      <alignment horizontal="right"/>
    </xf>
    <xf numFmtId="1" fontId="155" fillId="0" borderId="0" xfId="0" applyNumberFormat="1" applyFont="1"/>
    <xf numFmtId="170" fontId="24" fillId="0" borderId="0" xfId="0" applyNumberFormat="1" applyFont="1"/>
    <xf numFmtId="0" fontId="23" fillId="0" borderId="0" xfId="0" applyFont="1"/>
    <xf numFmtId="0" fontId="23" fillId="0" borderId="0" xfId="0" quotePrefix="1" applyFont="1" applyAlignment="1">
      <alignment horizontal="left" indent="1"/>
    </xf>
    <xf numFmtId="167" fontId="54" fillId="0" borderId="0" xfId="0" applyNumberFormat="1" applyFont="1"/>
    <xf numFmtId="0" fontId="68" fillId="0" borderId="0" xfId="0" applyFont="1" applyAlignment="1">
      <alignment horizontal="left" indent="2"/>
    </xf>
    <xf numFmtId="1" fontId="148" fillId="0" borderId="0" xfId="0" applyNumberFormat="1" applyFont="1"/>
    <xf numFmtId="167" fontId="86" fillId="0" borderId="0" xfId="0" applyNumberFormat="1" applyFont="1"/>
    <xf numFmtId="0" fontId="22" fillId="0" borderId="0" xfId="0" applyFont="1" applyAlignment="1">
      <alignment horizontal="right"/>
    </xf>
    <xf numFmtId="0" fontId="124" fillId="13" borderId="12" xfId="0" applyFont="1" applyFill="1" applyBorder="1"/>
    <xf numFmtId="168" fontId="124" fillId="13" borderId="12" xfId="0" applyNumberFormat="1" applyFont="1" applyFill="1" applyBorder="1" applyAlignment="1">
      <alignment horizontal="right"/>
    </xf>
    <xf numFmtId="0" fontId="129" fillId="0" borderId="14" xfId="25" applyFont="1" applyBorder="1"/>
    <xf numFmtId="167" fontId="129" fillId="0" borderId="14" xfId="26" applyNumberFormat="1" applyFont="1" applyFill="1" applyBorder="1"/>
    <xf numFmtId="0" fontId="127" fillId="16" borderId="0" xfId="25" applyFont="1" applyFill="1"/>
    <xf numFmtId="167" fontId="127" fillId="16" borderId="0" xfId="26" applyNumberFormat="1" applyFont="1" applyFill="1" applyBorder="1"/>
    <xf numFmtId="167" fontId="127" fillId="16" borderId="0" xfId="26" applyNumberFormat="1" applyFont="1" applyFill="1" applyBorder="1" applyAlignment="1">
      <alignment horizontal="right"/>
    </xf>
    <xf numFmtId="0" fontId="124" fillId="16" borderId="0" xfId="0" applyFont="1" applyFill="1"/>
    <xf numFmtId="3" fontId="124" fillId="16" borderId="0" xfId="0" applyNumberFormat="1" applyFont="1" applyFill="1"/>
    <xf numFmtId="1" fontId="124" fillId="16" borderId="0" xfId="0" applyNumberFormat="1" applyFont="1" applyFill="1"/>
    <xf numFmtId="167" fontId="124" fillId="16" borderId="0" xfId="0" applyNumberFormat="1" applyFont="1" applyFill="1"/>
    <xf numFmtId="0" fontId="128" fillId="16" borderId="0" xfId="0" applyFont="1" applyFill="1"/>
    <xf numFmtId="0" fontId="128" fillId="16" borderId="0" xfId="0" applyFont="1" applyFill="1" applyAlignment="1">
      <alignment horizontal="right"/>
    </xf>
    <xf numFmtId="0" fontId="93" fillId="16" borderId="0" xfId="0" applyFont="1" applyFill="1"/>
    <xf numFmtId="167" fontId="127" fillId="13" borderId="0" xfId="26" applyNumberFormat="1" applyFont="1" applyFill="1" applyBorder="1"/>
    <xf numFmtId="0" fontId="129" fillId="0" borderId="12" xfId="25" applyFont="1" applyBorder="1" applyAlignment="1">
      <alignment horizontal="right"/>
    </xf>
    <xf numFmtId="0" fontId="21" fillId="0" borderId="0" xfId="0" applyFont="1" applyAlignment="1">
      <alignment horizontal="right"/>
    </xf>
    <xf numFmtId="0" fontId="20" fillId="0" borderId="0" xfId="0" quotePrefix="1" applyFont="1" applyAlignment="1">
      <alignment horizontal="left" indent="1"/>
    </xf>
    <xf numFmtId="1" fontId="30" fillId="3" borderId="0" xfId="0" applyNumberFormat="1" applyFont="1" applyFill="1"/>
    <xf numFmtId="1" fontId="85" fillId="3" borderId="0" xfId="0" applyNumberFormat="1" applyFont="1" applyFill="1"/>
    <xf numFmtId="0" fontId="20" fillId="0" borderId="0" xfId="0" applyFont="1" applyAlignment="1">
      <alignment horizontal="left" indent="1"/>
    </xf>
    <xf numFmtId="1" fontId="124" fillId="0" borderId="0" xfId="0" applyNumberFormat="1" applyFont="1" applyAlignment="1">
      <alignment horizontal="right"/>
    </xf>
    <xf numFmtId="9" fontId="124" fillId="3" borderId="0" xfId="0" applyNumberFormat="1" applyFont="1" applyFill="1"/>
    <xf numFmtId="0" fontId="19" fillId="0" borderId="0" xfId="0" quotePrefix="1" applyFont="1" applyAlignment="1">
      <alignment horizontal="left" indent="1"/>
    </xf>
    <xf numFmtId="0" fontId="102" fillId="0" borderId="0" xfId="0" applyFont="1"/>
    <xf numFmtId="1" fontId="123" fillId="0" borderId="0" xfId="0" applyNumberFormat="1" applyFont="1"/>
    <xf numFmtId="167" fontId="123" fillId="0" borderId="0" xfId="0" applyNumberFormat="1" applyFont="1"/>
    <xf numFmtId="3" fontId="156" fillId="0" borderId="0" xfId="0" applyNumberFormat="1" applyFont="1" applyAlignment="1">
      <alignment wrapText="1"/>
    </xf>
    <xf numFmtId="0" fontId="18" fillId="0" borderId="0" xfId="0" applyFont="1" applyAlignment="1">
      <alignment horizontal="left" indent="3"/>
    </xf>
    <xf numFmtId="1" fontId="18" fillId="0" borderId="0" xfId="0" applyNumberFormat="1" applyFont="1"/>
    <xf numFmtId="0" fontId="18" fillId="0" borderId="0" xfId="0" applyFont="1" applyAlignment="1">
      <alignment horizontal="left" indent="2"/>
    </xf>
    <xf numFmtId="0" fontId="18" fillId="0" borderId="0" xfId="0" applyFont="1"/>
    <xf numFmtId="0" fontId="18" fillId="0" borderId="0" xfId="0" applyFont="1" applyAlignment="1">
      <alignment horizontal="left" indent="1"/>
    </xf>
    <xf numFmtId="167" fontId="18" fillId="0" borderId="0" xfId="0" applyNumberFormat="1" applyFont="1"/>
    <xf numFmtId="0" fontId="18" fillId="0" borderId="0" xfId="0" quotePrefix="1" applyFont="1"/>
    <xf numFmtId="167" fontId="156" fillId="0" borderId="0" xfId="0" applyNumberFormat="1" applyFont="1" applyAlignment="1">
      <alignment wrapText="1"/>
    </xf>
    <xf numFmtId="167" fontId="142" fillId="0" borderId="0" xfId="0" applyNumberFormat="1" applyFont="1" applyAlignment="1">
      <alignment wrapText="1"/>
    </xf>
    <xf numFmtId="0" fontId="17" fillId="0" borderId="0" xfId="0" applyFont="1"/>
    <xf numFmtId="1" fontId="124" fillId="0" borderId="12" xfId="0" applyNumberFormat="1" applyFont="1" applyBorder="1" applyAlignment="1">
      <alignment horizontal="right"/>
    </xf>
    <xf numFmtId="0" fontId="124" fillId="0" borderId="12" xfId="0" applyFont="1" applyBorder="1" applyAlignment="1">
      <alignment horizontal="right"/>
    </xf>
    <xf numFmtId="0" fontId="124" fillId="16" borderId="12" xfId="0" applyFont="1" applyFill="1" applyBorder="1"/>
    <xf numFmtId="3" fontId="124" fillId="16" borderId="12" xfId="0" applyNumberFormat="1" applyFont="1" applyFill="1" applyBorder="1"/>
    <xf numFmtId="9" fontId="124" fillId="16" borderId="0" xfId="0" applyNumberFormat="1" applyFont="1" applyFill="1"/>
    <xf numFmtId="1" fontId="124" fillId="16" borderId="12" xfId="0" applyNumberFormat="1" applyFont="1" applyFill="1" applyBorder="1"/>
    <xf numFmtId="9" fontId="124" fillId="16" borderId="12" xfId="0" applyNumberFormat="1" applyFont="1" applyFill="1" applyBorder="1"/>
    <xf numFmtId="1" fontId="128" fillId="16" borderId="0" xfId="0" applyNumberFormat="1" applyFont="1" applyFill="1"/>
    <xf numFmtId="1" fontId="124" fillId="0" borderId="22" xfId="0" applyNumberFormat="1" applyFont="1" applyBorder="1"/>
    <xf numFmtId="0" fontId="124" fillId="0" borderId="17" xfId="0" applyFont="1" applyBorder="1"/>
    <xf numFmtId="1" fontId="124" fillId="0" borderId="18" xfId="0" applyNumberFormat="1" applyFont="1" applyBorder="1"/>
    <xf numFmtId="182" fontId="124" fillId="0" borderId="0" xfId="0" applyNumberFormat="1" applyFont="1"/>
    <xf numFmtId="1" fontId="16" fillId="0" borderId="0" xfId="0" applyNumberFormat="1" applyFont="1"/>
    <xf numFmtId="0" fontId="157" fillId="0" borderId="0" xfId="0" applyFont="1"/>
    <xf numFmtId="3" fontId="157" fillId="0" borderId="0" xfId="0" applyNumberFormat="1" applyFont="1"/>
    <xf numFmtId="9" fontId="157" fillId="0" borderId="0" xfId="0" applyNumberFormat="1" applyFont="1"/>
    <xf numFmtId="0" fontId="157" fillId="0" borderId="12" xfId="0" applyFont="1" applyBorder="1"/>
    <xf numFmtId="3" fontId="157" fillId="0" borderId="12" xfId="0" applyNumberFormat="1" applyFont="1" applyBorder="1"/>
    <xf numFmtId="9" fontId="157" fillId="0" borderId="12" xfId="0" applyNumberFormat="1" applyFont="1" applyBorder="1"/>
    <xf numFmtId="0" fontId="158" fillId="0" borderId="0" xfId="0" applyFont="1"/>
    <xf numFmtId="3" fontId="124" fillId="0" borderId="3" xfId="0" applyNumberFormat="1" applyFont="1" applyBorder="1"/>
    <xf numFmtId="0" fontId="124" fillId="0" borderId="4" xfId="0" applyFont="1" applyBorder="1"/>
    <xf numFmtId="0" fontId="124" fillId="0" borderId="20" xfId="0" applyFont="1" applyBorder="1"/>
    <xf numFmtId="9" fontId="124" fillId="0" borderId="2" xfId="0" applyNumberFormat="1" applyFont="1" applyBorder="1"/>
    <xf numFmtId="0" fontId="124" fillId="0" borderId="27" xfId="0" applyFont="1" applyBorder="1"/>
    <xf numFmtId="9" fontId="124" fillId="0" borderId="28" xfId="0" applyNumberFormat="1" applyFont="1" applyBorder="1"/>
    <xf numFmtId="0" fontId="124" fillId="0" borderId="21" xfId="0" applyFont="1" applyBorder="1"/>
    <xf numFmtId="3" fontId="124" fillId="0" borderId="1" xfId="0" applyNumberFormat="1" applyFont="1" applyBorder="1"/>
    <xf numFmtId="9" fontId="124" fillId="0" borderId="5" xfId="0" applyNumberFormat="1" applyFont="1" applyBorder="1"/>
    <xf numFmtId="0" fontId="15" fillId="0" borderId="0" xfId="0" applyFont="1"/>
    <xf numFmtId="0" fontId="15" fillId="0" borderId="0" xfId="0" quotePrefix="1" applyFont="1"/>
    <xf numFmtId="0" fontId="15" fillId="0" borderId="12" xfId="0" quotePrefix="1" applyFont="1" applyBorder="1"/>
    <xf numFmtId="167" fontId="15" fillId="0" borderId="0" xfId="0" applyNumberFormat="1" applyFont="1"/>
    <xf numFmtId="0" fontId="14" fillId="0" borderId="0" xfId="0" applyFont="1" applyAlignment="1">
      <alignment horizontal="right"/>
    </xf>
    <xf numFmtId="0" fontId="13" fillId="0" borderId="0" xfId="0" applyFont="1" applyAlignment="1">
      <alignment horizontal="right"/>
    </xf>
    <xf numFmtId="0" fontId="13" fillId="0" borderId="0" xfId="0" applyFont="1"/>
    <xf numFmtId="9" fontId="18" fillId="0" borderId="0" xfId="0" applyNumberFormat="1" applyFont="1"/>
    <xf numFmtId="167" fontId="139" fillId="16" borderId="0" xfId="0" applyNumberFormat="1" applyFont="1" applyFill="1"/>
    <xf numFmtId="3" fontId="129" fillId="0" borderId="0" xfId="0" applyNumberFormat="1" applyFont="1"/>
    <xf numFmtId="1" fontId="127" fillId="0" borderId="12" xfId="0" applyNumberFormat="1" applyFont="1" applyBorder="1"/>
    <xf numFmtId="10" fontId="81" fillId="0" borderId="0" xfId="2" applyNumberFormat="1" applyFont="1" applyFill="1" applyAlignment="1">
      <alignment horizontal="right"/>
    </xf>
    <xf numFmtId="0" fontId="159" fillId="17" borderId="0" xfId="0" applyFont="1" applyFill="1"/>
    <xf numFmtId="0" fontId="12" fillId="0" borderId="0" xfId="0" applyFont="1"/>
    <xf numFmtId="0" fontId="68" fillId="0" borderId="12" xfId="0" applyFont="1" applyBorder="1"/>
    <xf numFmtId="1" fontId="106" fillId="0" borderId="0" xfId="0" applyNumberFormat="1" applyFont="1" applyAlignment="1">
      <alignment horizontal="right"/>
    </xf>
    <xf numFmtId="10" fontId="143" fillId="0" borderId="0" xfId="0" applyNumberFormat="1" applyFont="1"/>
    <xf numFmtId="1" fontId="0" fillId="0" borderId="0" xfId="0" applyNumberFormat="1" applyAlignment="1">
      <alignment horizontal="left"/>
    </xf>
    <xf numFmtId="0" fontId="11" fillId="0" borderId="12" xfId="0" applyFont="1" applyBorder="1"/>
    <xf numFmtId="0" fontId="11" fillId="0" borderId="0" xfId="0" applyFont="1"/>
    <xf numFmtId="3" fontId="102" fillId="0" borderId="0" xfId="0" applyNumberFormat="1" applyFont="1"/>
    <xf numFmtId="3" fontId="124" fillId="0" borderId="14" xfId="0" applyNumberFormat="1" applyFont="1" applyBorder="1"/>
    <xf numFmtId="0" fontId="128" fillId="0" borderId="3" xfId="0" applyFont="1" applyBorder="1"/>
    <xf numFmtId="0" fontId="124" fillId="0" borderId="3" xfId="0" applyFont="1" applyBorder="1"/>
    <xf numFmtId="0" fontId="124" fillId="0" borderId="1" xfId="0" applyFont="1" applyBorder="1"/>
    <xf numFmtId="3" fontId="128" fillId="0" borderId="12" xfId="0" applyNumberFormat="1" applyFont="1" applyBorder="1" applyAlignment="1">
      <alignment horizontal="right"/>
    </xf>
    <xf numFmtId="167" fontId="128" fillId="0" borderId="12" xfId="0" applyNumberFormat="1" applyFont="1" applyBorder="1" applyAlignment="1">
      <alignment horizontal="right"/>
    </xf>
    <xf numFmtId="0" fontId="128" fillId="0" borderId="3" xfId="0" applyFont="1" applyBorder="1" applyAlignment="1">
      <alignment horizontal="right"/>
    </xf>
    <xf numFmtId="1" fontId="124" fillId="0" borderId="1" xfId="0" applyNumberFormat="1" applyFont="1" applyBorder="1"/>
    <xf numFmtId="167" fontId="124" fillId="0" borderId="1" xfId="0" applyNumberFormat="1" applyFont="1" applyBorder="1"/>
    <xf numFmtId="167" fontId="124" fillId="0" borderId="3" xfId="0" applyNumberFormat="1" applyFont="1" applyBorder="1"/>
    <xf numFmtId="0" fontId="128" fillId="0" borderId="4" xfId="0" applyFont="1" applyBorder="1"/>
    <xf numFmtId="0" fontId="128" fillId="0" borderId="5" xfId="0" applyFont="1" applyBorder="1"/>
    <xf numFmtId="0" fontId="124" fillId="0" borderId="5" xfId="0" applyFont="1" applyBorder="1"/>
    <xf numFmtId="3" fontId="128" fillId="0" borderId="3" xfId="0" applyNumberFormat="1" applyFont="1" applyBorder="1" applyAlignment="1">
      <alignment horizontal="right"/>
    </xf>
    <xf numFmtId="1" fontId="124" fillId="0" borderId="3" xfId="0" applyNumberFormat="1" applyFont="1" applyBorder="1"/>
    <xf numFmtId="9" fontId="68" fillId="0" borderId="0" xfId="0" applyNumberFormat="1" applyFont="1"/>
    <xf numFmtId="168" fontId="160" fillId="0" borderId="0" xfId="0" applyNumberFormat="1" applyFont="1"/>
    <xf numFmtId="0" fontId="128" fillId="16" borderId="12" xfId="0" applyFont="1" applyFill="1" applyBorder="1"/>
    <xf numFmtId="0" fontId="128" fillId="16" borderId="12" xfId="0" applyFont="1" applyFill="1" applyBorder="1" applyAlignment="1">
      <alignment horizontal="right"/>
    </xf>
    <xf numFmtId="1" fontId="128" fillId="16" borderId="12" xfId="0" applyNumberFormat="1" applyFont="1" applyFill="1" applyBorder="1"/>
    <xf numFmtId="168" fontId="124" fillId="16" borderId="0" xfId="0" applyNumberFormat="1" applyFont="1" applyFill="1"/>
    <xf numFmtId="168" fontId="160" fillId="16" borderId="0" xfId="0" applyNumberFormat="1" applyFont="1" applyFill="1"/>
    <xf numFmtId="0" fontId="161" fillId="16" borderId="0" xfId="0" applyFont="1" applyFill="1"/>
    <xf numFmtId="0" fontId="10" fillId="0" borderId="0" xfId="0" applyFont="1" applyAlignment="1">
      <alignment horizontal="right"/>
    </xf>
    <xf numFmtId="180" fontId="93" fillId="3" borderId="0" xfId="0" applyNumberFormat="1" applyFont="1" applyFill="1" applyAlignment="1">
      <alignment wrapText="1"/>
    </xf>
    <xf numFmtId="1" fontId="162" fillId="3" borderId="0" xfId="0" applyNumberFormat="1" applyFont="1" applyFill="1"/>
    <xf numFmtId="0" fontId="9" fillId="0" borderId="0" xfId="0" applyFont="1"/>
    <xf numFmtId="0" fontId="68" fillId="0" borderId="0" xfId="0" applyFont="1" applyAlignment="1">
      <alignment horizontal="left" indent="3"/>
    </xf>
    <xf numFmtId="0" fontId="8" fillId="0" borderId="0" xfId="0" applyFont="1" applyAlignment="1">
      <alignment horizontal="right"/>
    </xf>
    <xf numFmtId="0" fontId="0" fillId="0" borderId="0" xfId="0" quotePrefix="1" applyAlignment="1">
      <alignment horizontal="left" indent="1"/>
    </xf>
    <xf numFmtId="9" fontId="107" fillId="0" borderId="0" xfId="0" applyNumberFormat="1" applyFont="1"/>
    <xf numFmtId="169" fontId="0" fillId="0" borderId="0" xfId="0" applyNumberFormat="1"/>
    <xf numFmtId="178" fontId="145" fillId="18" borderId="26" xfId="6" applyNumberFormat="1" applyFont="1" applyFill="1" applyBorder="1"/>
    <xf numFmtId="179" fontId="145" fillId="18" borderId="26" xfId="0" applyNumberFormat="1" applyFont="1" applyFill="1" applyBorder="1"/>
    <xf numFmtId="179" fontId="145" fillId="18" borderId="30" xfId="0" applyNumberFormat="1" applyFont="1" applyFill="1" applyBorder="1"/>
    <xf numFmtId="9" fontId="145" fillId="18" borderId="26" xfId="0" applyNumberFormat="1" applyFont="1" applyFill="1" applyBorder="1"/>
    <xf numFmtId="0" fontId="145" fillId="18" borderId="0" xfId="6" applyFont="1" applyFill="1"/>
    <xf numFmtId="179" fontId="145" fillId="18" borderId="0" xfId="0" applyNumberFormat="1" applyFont="1" applyFill="1"/>
    <xf numFmtId="179" fontId="145" fillId="18" borderId="29" xfId="0" applyNumberFormat="1" applyFont="1" applyFill="1" applyBorder="1"/>
    <xf numFmtId="9" fontId="145" fillId="18" borderId="0" xfId="0" applyNumberFormat="1" applyFont="1" applyFill="1"/>
    <xf numFmtId="179" fontId="145" fillId="18" borderId="0" xfId="6" applyNumberFormat="1" applyFont="1" applyFill="1"/>
    <xf numFmtId="179" fontId="145" fillId="18" borderId="29" xfId="6" applyNumberFormat="1" applyFont="1" applyFill="1" applyBorder="1"/>
    <xf numFmtId="9" fontId="145" fillId="18" borderId="0" xfId="6" applyNumberFormat="1" applyFont="1" applyFill="1"/>
    <xf numFmtId="0" fontId="144" fillId="19" borderId="0" xfId="6" applyFont="1" applyFill="1"/>
    <xf numFmtId="179" fontId="144" fillId="19" borderId="0" xfId="6" applyNumberFormat="1" applyFont="1" applyFill="1"/>
    <xf numFmtId="179" fontId="144" fillId="19" borderId="29" xfId="6" applyNumberFormat="1" applyFont="1" applyFill="1" applyBorder="1"/>
    <xf numFmtId="9" fontId="144" fillId="19" borderId="0" xfId="6" applyNumberFormat="1" applyFont="1" applyFill="1"/>
    <xf numFmtId="179" fontId="144" fillId="19" borderId="0" xfId="0" applyNumberFormat="1" applyFont="1" applyFill="1"/>
    <xf numFmtId="179" fontId="144" fillId="19" borderId="29" xfId="0" applyNumberFormat="1" applyFont="1" applyFill="1" applyBorder="1"/>
    <xf numFmtId="9" fontId="144" fillId="19" borderId="0" xfId="0" applyNumberFormat="1" applyFont="1" applyFill="1"/>
    <xf numFmtId="0" fontId="145" fillId="19" borderId="0" xfId="6" applyFont="1" applyFill="1"/>
    <xf numFmtId="179" fontId="145" fillId="19" borderId="0" xfId="6" applyNumberFormat="1" applyFont="1" applyFill="1"/>
    <xf numFmtId="179" fontId="145" fillId="19" borderId="29" xfId="6" applyNumberFormat="1" applyFont="1" applyFill="1" applyBorder="1"/>
    <xf numFmtId="9" fontId="145" fillId="19" borderId="0" xfId="6" applyNumberFormat="1" applyFont="1" applyFill="1"/>
    <xf numFmtId="9" fontId="145" fillId="19" borderId="0" xfId="2" applyFont="1" applyFill="1"/>
    <xf numFmtId="9" fontId="145" fillId="19" borderId="29" xfId="2" applyFont="1" applyFill="1" applyBorder="1"/>
    <xf numFmtId="167" fontId="145" fillId="19" borderId="0" xfId="6" applyNumberFormat="1" applyFont="1" applyFill="1"/>
    <xf numFmtId="167" fontId="145" fillId="19" borderId="29" xfId="6" applyNumberFormat="1" applyFont="1" applyFill="1" applyBorder="1"/>
    <xf numFmtId="0" fontId="145" fillId="19" borderId="0" xfId="6" quotePrefix="1" applyFont="1" applyFill="1"/>
    <xf numFmtId="0" fontId="145" fillId="19" borderId="12" xfId="6" applyFont="1" applyFill="1" applyBorder="1"/>
    <xf numFmtId="179" fontId="145" fillId="19" borderId="12" xfId="6" applyNumberFormat="1" applyFont="1" applyFill="1" applyBorder="1"/>
    <xf numFmtId="9" fontId="145" fillId="19" borderId="12" xfId="6" applyNumberFormat="1" applyFont="1" applyFill="1" applyBorder="1"/>
    <xf numFmtId="1" fontId="102" fillId="0" borderId="0" xfId="0" applyNumberFormat="1" applyFont="1"/>
    <xf numFmtId="179" fontId="145" fillId="0" borderId="2" xfId="6" applyNumberFormat="1" applyFont="1" applyBorder="1"/>
    <xf numFmtId="179" fontId="145" fillId="19" borderId="2" xfId="6" applyNumberFormat="1" applyFont="1" applyFill="1" applyBorder="1"/>
    <xf numFmtId="0" fontId="145" fillId="0" borderId="0" xfId="6" quotePrefix="1" applyFont="1"/>
    <xf numFmtId="179" fontId="145" fillId="0" borderId="32" xfId="6" applyNumberFormat="1" applyFont="1" applyBorder="1"/>
    <xf numFmtId="0" fontId="92" fillId="0" borderId="4" xfId="0" applyFont="1" applyBorder="1" applyAlignment="1">
      <alignment horizontal="right"/>
    </xf>
    <xf numFmtId="0" fontId="144" fillId="0" borderId="2" xfId="6" applyFont="1" applyBorder="1" applyAlignment="1">
      <alignment horizontal="right"/>
    </xf>
    <xf numFmtId="179" fontId="145" fillId="0" borderId="2" xfId="0" applyNumberFormat="1" applyFont="1" applyBorder="1"/>
    <xf numFmtId="179" fontId="145" fillId="18" borderId="2" xfId="0" applyNumberFormat="1" applyFont="1" applyFill="1" applyBorder="1"/>
    <xf numFmtId="179" fontId="145" fillId="18" borderId="2" xfId="6" applyNumberFormat="1" applyFont="1" applyFill="1" applyBorder="1"/>
    <xf numFmtId="179" fontId="145" fillId="0" borderId="28" xfId="6" applyNumberFormat="1" applyFont="1" applyBorder="1"/>
    <xf numFmtId="179" fontId="144" fillId="19" borderId="2" xfId="6" applyNumberFormat="1" applyFont="1" applyFill="1" applyBorder="1"/>
    <xf numFmtId="179" fontId="144" fillId="0" borderId="2" xfId="6" applyNumberFormat="1" applyFont="1" applyBorder="1"/>
    <xf numFmtId="179" fontId="144" fillId="19" borderId="2" xfId="0" applyNumberFormat="1" applyFont="1" applyFill="1" applyBorder="1"/>
    <xf numFmtId="9" fontId="145" fillId="0" borderId="2" xfId="2" applyFont="1" applyFill="1" applyBorder="1"/>
    <xf numFmtId="9" fontId="145" fillId="19" borderId="2" xfId="2" applyFont="1" applyFill="1" applyBorder="1"/>
    <xf numFmtId="167" fontId="145" fillId="0" borderId="2" xfId="6" applyNumberFormat="1" applyFont="1" applyBorder="1"/>
    <xf numFmtId="167" fontId="145" fillId="19" borderId="2" xfId="6" applyNumberFormat="1" applyFont="1" applyFill="1" applyBorder="1"/>
    <xf numFmtId="179" fontId="145" fillId="0" borderId="5" xfId="6" applyNumberFormat="1" applyFont="1" applyBorder="1"/>
    <xf numFmtId="167" fontId="151" fillId="3" borderId="0" xfId="0" applyNumberFormat="1" applyFont="1" applyFill="1"/>
    <xf numFmtId="179" fontId="145" fillId="19" borderId="28" xfId="6" applyNumberFormat="1" applyFont="1" applyFill="1" applyBorder="1"/>
    <xf numFmtId="179" fontId="145" fillId="19" borderId="31" xfId="6" applyNumberFormat="1" applyFont="1" applyFill="1" applyBorder="1"/>
    <xf numFmtId="16" fontId="120" fillId="0" borderId="0" xfId="0" applyNumberFormat="1" applyFont="1" applyAlignment="1">
      <alignment horizontal="center"/>
    </xf>
    <xf numFmtId="3" fontId="121" fillId="0" borderId="0" xfId="2" applyNumberFormat="1" applyFont="1" applyFill="1" applyBorder="1" applyAlignment="1">
      <alignment horizontal="center"/>
    </xf>
    <xf numFmtId="167" fontId="121" fillId="0" borderId="0" xfId="2" applyNumberFormat="1" applyFont="1" applyFill="1" applyBorder="1" applyAlignment="1">
      <alignment horizontal="center"/>
    </xf>
    <xf numFmtId="0" fontId="7" fillId="0" borderId="0" xfId="0" applyFont="1" applyAlignment="1">
      <alignment horizontal="right"/>
    </xf>
    <xf numFmtId="9" fontId="93" fillId="3" borderId="0" xfId="0" applyNumberFormat="1" applyFont="1" applyFill="1"/>
    <xf numFmtId="183" fontId="93" fillId="0" borderId="0" xfId="0" applyNumberFormat="1" applyFont="1"/>
    <xf numFmtId="0" fontId="128" fillId="0" borderId="4" xfId="0" applyFont="1" applyBorder="1" applyAlignment="1">
      <alignment horizontal="right"/>
    </xf>
    <xf numFmtId="3" fontId="124" fillId="0" borderId="2" xfId="0" applyNumberFormat="1" applyFont="1" applyBorder="1"/>
    <xf numFmtId="3" fontId="124" fillId="0" borderId="28" xfId="0" applyNumberFormat="1" applyFont="1" applyBorder="1"/>
    <xf numFmtId="3" fontId="124" fillId="0" borderId="5" xfId="0" applyNumberFormat="1" applyFont="1" applyBorder="1"/>
    <xf numFmtId="3" fontId="128" fillId="0" borderId="4" xfId="0" applyNumberFormat="1" applyFont="1" applyBorder="1" applyAlignment="1">
      <alignment horizontal="right"/>
    </xf>
    <xf numFmtId="167" fontId="124" fillId="0" borderId="2" xfId="0" applyNumberFormat="1" applyFont="1" applyBorder="1"/>
    <xf numFmtId="167" fontId="124" fillId="0" borderId="28" xfId="0" applyNumberFormat="1" applyFont="1" applyBorder="1"/>
    <xf numFmtId="167" fontId="124" fillId="0" borderId="5" xfId="0" applyNumberFormat="1" applyFont="1" applyBorder="1"/>
    <xf numFmtId="0" fontId="6" fillId="0" borderId="0" xfId="0" applyFont="1" applyAlignment="1">
      <alignment horizontal="left" indent="1"/>
    </xf>
    <xf numFmtId="3" fontId="163" fillId="0" borderId="0" xfId="0" applyNumberFormat="1" applyFont="1" applyAlignment="1">
      <alignment wrapText="1"/>
    </xf>
    <xf numFmtId="3" fontId="163" fillId="0" borderId="12" xfId="0" applyNumberFormat="1" applyFont="1" applyBorder="1" applyAlignment="1">
      <alignment wrapText="1"/>
    </xf>
    <xf numFmtId="9" fontId="164" fillId="0" borderId="0" xfId="0" applyNumberFormat="1" applyFont="1"/>
    <xf numFmtId="1" fontId="164" fillId="0" borderId="0" xfId="0" applyNumberFormat="1" applyFont="1"/>
    <xf numFmtId="184" fontId="0" fillId="0" borderId="0" xfId="0" applyNumberFormat="1"/>
    <xf numFmtId="167" fontId="163" fillId="0" borderId="0" xfId="2" applyNumberFormat="1" applyFont="1" applyFill="1" applyAlignment="1">
      <alignment wrapText="1"/>
    </xf>
    <xf numFmtId="0" fontId="92" fillId="0" borderId="19" xfId="0" applyFont="1" applyBorder="1" applyAlignment="1">
      <alignment horizontal="right"/>
    </xf>
    <xf numFmtId="0" fontId="144" fillId="0" borderId="21" xfId="6" applyFont="1" applyBorder="1" applyAlignment="1">
      <alignment horizontal="right"/>
    </xf>
    <xf numFmtId="0" fontId="144" fillId="0" borderId="5" xfId="6" applyFont="1" applyBorder="1" applyAlignment="1">
      <alignment horizontal="right"/>
    </xf>
    <xf numFmtId="179" fontId="145" fillId="18" borderId="20" xfId="0" applyNumberFormat="1" applyFont="1" applyFill="1" applyBorder="1"/>
    <xf numFmtId="179" fontId="145" fillId="0" borderId="20" xfId="0" applyNumberFormat="1" applyFont="1" applyBorder="1"/>
    <xf numFmtId="179" fontId="145" fillId="0" borderId="20" xfId="6" applyNumberFormat="1" applyFont="1" applyBorder="1"/>
    <xf numFmtId="179" fontId="145" fillId="18" borderId="20" xfId="6" applyNumberFormat="1" applyFont="1" applyFill="1" applyBorder="1"/>
    <xf numFmtId="179" fontId="145" fillId="0" borderId="27" xfId="6" applyNumberFormat="1" applyFont="1" applyBorder="1"/>
    <xf numFmtId="179" fontId="144" fillId="19" borderId="20" xfId="6" applyNumberFormat="1" applyFont="1" applyFill="1" applyBorder="1"/>
    <xf numFmtId="179" fontId="144" fillId="0" borderId="20" xfId="6" applyNumberFormat="1" applyFont="1" applyBorder="1"/>
    <xf numFmtId="179" fontId="144" fillId="19" borderId="20" xfId="0" applyNumberFormat="1" applyFont="1" applyFill="1" applyBorder="1"/>
    <xf numFmtId="9" fontId="145" fillId="0" borderId="20" xfId="2" applyFont="1" applyFill="1" applyBorder="1"/>
    <xf numFmtId="179" fontId="145" fillId="19" borderId="20" xfId="6" applyNumberFormat="1" applyFont="1" applyFill="1" applyBorder="1"/>
    <xf numFmtId="179" fontId="145" fillId="19" borderId="27" xfId="6" applyNumberFormat="1" applyFont="1" applyFill="1" applyBorder="1"/>
    <xf numFmtId="9" fontId="145" fillId="19" borderId="20" xfId="2" applyFont="1" applyFill="1" applyBorder="1"/>
    <xf numFmtId="167" fontId="145" fillId="0" borderId="20" xfId="6" applyNumberFormat="1" applyFont="1" applyBorder="1"/>
    <xf numFmtId="167" fontId="145" fillId="19" borderId="20" xfId="6" applyNumberFormat="1" applyFont="1" applyFill="1" applyBorder="1"/>
    <xf numFmtId="179" fontId="145" fillId="0" borderId="21" xfId="6" applyNumberFormat="1" applyFont="1" applyBorder="1"/>
    <xf numFmtId="0" fontId="127" fillId="18" borderId="14" xfId="0" applyFont="1" applyFill="1" applyBorder="1" applyAlignment="1">
      <alignment horizontal="left" vertical="center"/>
    </xf>
    <xf numFmtId="170" fontId="127" fillId="18" borderId="14" xfId="0" applyNumberFormat="1" applyFont="1" applyFill="1" applyBorder="1" applyAlignment="1">
      <alignment horizontal="right" vertical="center"/>
    </xf>
    <xf numFmtId="3" fontId="127" fillId="18" borderId="14" xfId="0" applyNumberFormat="1" applyFont="1" applyFill="1" applyBorder="1" applyAlignment="1">
      <alignment horizontal="right" vertical="center"/>
    </xf>
    <xf numFmtId="0" fontId="127" fillId="18" borderId="14" xfId="0" applyFont="1" applyFill="1" applyBorder="1" applyAlignment="1">
      <alignment horizontal="right" vertical="center"/>
    </xf>
    <xf numFmtId="0" fontId="127" fillId="18" borderId="0" xfId="0" applyFont="1" applyFill="1" applyAlignment="1">
      <alignment horizontal="left" vertical="center"/>
    </xf>
    <xf numFmtId="3" fontId="127" fillId="18" borderId="0" xfId="0" applyNumberFormat="1" applyFont="1" applyFill="1" applyAlignment="1">
      <alignment horizontal="right" vertical="center"/>
    </xf>
    <xf numFmtId="0" fontId="127" fillId="18" borderId="0" xfId="0" applyFont="1" applyFill="1" applyAlignment="1">
      <alignment horizontal="right" vertical="center"/>
    </xf>
    <xf numFmtId="0" fontId="127" fillId="18" borderId="12" xfId="0" applyFont="1" applyFill="1" applyBorder="1" applyAlignment="1">
      <alignment horizontal="left" vertical="center"/>
    </xf>
    <xf numFmtId="3" fontId="127" fillId="18" borderId="12" xfId="0" applyNumberFormat="1" applyFont="1" applyFill="1" applyBorder="1" applyAlignment="1">
      <alignment horizontal="right" vertical="center"/>
    </xf>
    <xf numFmtId="0" fontId="127" fillId="18" borderId="12" xfId="0" applyFont="1" applyFill="1" applyBorder="1" applyAlignment="1">
      <alignment horizontal="right" vertical="center"/>
    </xf>
    <xf numFmtId="0" fontId="135" fillId="18" borderId="0" xfId="0" applyFont="1" applyFill="1" applyAlignment="1">
      <alignment horizontal="left" vertical="center"/>
    </xf>
    <xf numFmtId="9" fontId="127" fillId="0" borderId="0" xfId="2" applyFont="1" applyFill="1" applyBorder="1" applyAlignment="1">
      <alignment horizontal="right" vertical="center"/>
    </xf>
    <xf numFmtId="9" fontId="127" fillId="18" borderId="0" xfId="2" applyFont="1" applyFill="1" applyBorder="1" applyAlignment="1">
      <alignment horizontal="right" vertical="center"/>
    </xf>
    <xf numFmtId="170" fontId="127" fillId="18" borderId="0" xfId="0" applyNumberFormat="1" applyFont="1" applyFill="1" applyAlignment="1">
      <alignment horizontal="right" vertical="center"/>
    </xf>
    <xf numFmtId="4" fontId="127" fillId="18" borderId="0" xfId="0" applyNumberFormat="1" applyFont="1" applyFill="1" applyAlignment="1">
      <alignment horizontal="right" vertical="center"/>
    </xf>
    <xf numFmtId="0" fontId="0" fillId="16" borderId="0" xfId="0" applyFill="1"/>
    <xf numFmtId="167" fontId="85" fillId="0" borderId="0" xfId="2" applyNumberFormat="1" applyFont="1" applyFill="1" applyBorder="1"/>
    <xf numFmtId="0" fontId="5" fillId="0" borderId="0" xfId="0" applyFont="1" applyAlignment="1">
      <alignment horizontal="left" indent="1"/>
    </xf>
    <xf numFmtId="170" fontId="164" fillId="0" borderId="0" xfId="0" applyNumberFormat="1" applyFont="1"/>
    <xf numFmtId="0" fontId="5" fillId="0" borderId="0" xfId="0" applyFont="1"/>
    <xf numFmtId="184" fontId="80" fillId="0" borderId="0" xfId="0" applyNumberFormat="1" applyFont="1"/>
    <xf numFmtId="0" fontId="4" fillId="0" borderId="0" xfId="0" applyFont="1"/>
    <xf numFmtId="0" fontId="3" fillId="0" borderId="0" xfId="0" applyFont="1"/>
    <xf numFmtId="1" fontId="124" fillId="3" borderId="0" xfId="0" applyNumberFormat="1" applyFont="1" applyFill="1"/>
    <xf numFmtId="0" fontId="2" fillId="0" borderId="0" xfId="0" applyFont="1"/>
    <xf numFmtId="1" fontId="160" fillId="0" borderId="0" xfId="0" applyNumberFormat="1" applyFont="1"/>
    <xf numFmtId="3" fontId="124" fillId="3" borderId="0" xfId="0" applyNumberFormat="1" applyFont="1" applyFill="1"/>
    <xf numFmtId="0" fontId="1" fillId="0" borderId="0" xfId="0" applyFont="1"/>
    <xf numFmtId="9" fontId="83" fillId="3" borderId="0" xfId="0" applyNumberFormat="1" applyFont="1" applyFill="1"/>
    <xf numFmtId="1" fontId="93" fillId="0" borderId="12" xfId="0" applyNumberFormat="1" applyFont="1" applyBorder="1"/>
    <xf numFmtId="0" fontId="124" fillId="0" borderId="12" xfId="0" quotePrefix="1" applyFont="1" applyBorder="1"/>
    <xf numFmtId="0" fontId="0" fillId="0" borderId="0" xfId="0" applyAlignment="1">
      <alignment horizontal="center" vertical="center"/>
    </xf>
    <xf numFmtId="0" fontId="128" fillId="0" borderId="22" xfId="0" applyFont="1" applyBorder="1" applyAlignment="1">
      <alignment horizontal="center"/>
    </xf>
    <xf numFmtId="0" fontId="128" fillId="0" borderId="17" xfId="0" applyFont="1" applyBorder="1" applyAlignment="1">
      <alignment horizontal="center"/>
    </xf>
    <xf numFmtId="0" fontId="128" fillId="0" borderId="18" xfId="0" applyFont="1" applyBorder="1" applyAlignment="1">
      <alignment horizontal="center"/>
    </xf>
    <xf numFmtId="0" fontId="129" fillId="0" borderId="0" xfId="0" applyFont="1" applyAlignment="1">
      <alignment horizontal="center"/>
    </xf>
    <xf numFmtId="0" fontId="128" fillId="0" borderId="0" xfId="0" applyFont="1" applyAlignment="1">
      <alignment horizontal="center"/>
    </xf>
    <xf numFmtId="16" fontId="129" fillId="0" borderId="25" xfId="0" applyNumberFormat="1" applyFont="1" applyBorder="1" applyAlignment="1">
      <alignment horizontal="center"/>
    </xf>
    <xf numFmtId="0" fontId="0" fillId="0" borderId="19" xfId="0"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29">
    <cellStyle name="%" xfId="5" xr:uid="{033FE622-2935-4330-8FC2-342926F338F4}"/>
    <cellStyle name="blp_column_header" xfId="14" xr:uid="{01A35885-4702-4D6E-B83C-E3C12D0A246A}"/>
    <cellStyle name="Comma" xfId="1" builtinId="3"/>
    <cellStyle name="Comma [0] 2" xfId="24" xr:uid="{48EE144D-2E87-4F03-8D0E-1F20ED20D2EC}"/>
    <cellStyle name="Comma 10 2" xfId="11" xr:uid="{66304037-F027-4427-97F2-86AB4FF61E73}"/>
    <cellStyle name="Comma 2" xfId="10" xr:uid="{A86479BD-F230-46B1-A461-5BCA40A8CE89}"/>
    <cellStyle name="Comma 2 2" xfId="27" xr:uid="{4F48BA09-5867-4002-8B95-4A8DD642360C}"/>
    <cellStyle name="Comma 3" xfId="4" xr:uid="{329072B3-6E7A-4846-A8C5-D10D26C18569}"/>
    <cellStyle name="Comma 3 2" xfId="12" xr:uid="{6AAE02F8-1035-4399-B64F-8B9D71081499}"/>
    <cellStyle name="Comma 4" xfId="23" xr:uid="{7BF28DC0-A28C-4AAD-9979-138DA543D202}"/>
    <cellStyle name="Currency" xfId="13" builtinId="4"/>
    <cellStyle name="Currency [0] 2" xfId="22" xr:uid="{712FA1F9-6F64-4400-80AB-878047279A42}"/>
    <cellStyle name="Currency 2" xfId="9" xr:uid="{235DAFC9-5DC4-44BA-9320-EA5E82BDAC69}"/>
    <cellStyle name="Currency 3" xfId="21" xr:uid="{8140B806-80AD-48D2-8D99-B4347C094E01}"/>
    <cellStyle name="fa_column_header_bottom" xfId="15" xr:uid="{EA9F5926-6A27-45D8-8764-1C37047D8D28}"/>
    <cellStyle name="Normal" xfId="0" builtinId="0"/>
    <cellStyle name="Normal 2" xfId="6" xr:uid="{5D882637-AC67-41DA-8EF7-9F610061293A}"/>
    <cellStyle name="Normal 2 2 3" xfId="8" xr:uid="{8C214613-8366-4AE2-8320-2BF595A5BA67}"/>
    <cellStyle name="Normal 3" xfId="17" xr:uid="{73E60048-50E9-4B7A-9EE0-D145543B4367}"/>
    <cellStyle name="Normal 4" xfId="3" xr:uid="{DAB29660-A03D-422A-B0BD-3D5D658E5BEC}"/>
    <cellStyle name="Normal 5" xfId="18" xr:uid="{57D8D425-C52F-4F71-8771-F8379C62CE54}"/>
    <cellStyle name="Normal 6" xfId="19" xr:uid="{E24AFE8A-FCB6-470A-8E78-A4863D068A4C}"/>
    <cellStyle name="Normal 6 2" xfId="28" xr:uid="{BA00752A-EB70-4BF0-A661-6B9D9D6F2063}"/>
    <cellStyle name="Normal 7" xfId="25" xr:uid="{2309E974-BC05-438C-8938-70807A2439A2}"/>
    <cellStyle name="Normal_Analysis" xfId="16" xr:uid="{F5E683C6-C415-4E6F-8D56-96C1B37A3BF5}"/>
    <cellStyle name="Percent" xfId="2" builtinId="5"/>
    <cellStyle name="Percent 2" xfId="7" xr:uid="{D5050D10-3618-4FAC-A104-454613C79B69}"/>
    <cellStyle name="Percent 3" xfId="20" xr:uid="{79C51D5B-4782-43B0-9932-0554E2D05F8D}"/>
    <cellStyle name="Percent 4" xfId="26" xr:uid="{61564466-9B07-4E32-B26B-A0CE6D4EAADC}"/>
  </cellStyles>
  <dxfs count="2">
    <dxf>
      <fill>
        <patternFill>
          <bgColor theme="9" tint="0.79998168889431442"/>
        </patternFill>
      </fill>
    </dxf>
    <dxf>
      <fill>
        <patternFill>
          <bgColor rgb="FFFF0000"/>
        </patternFill>
      </fill>
    </dxf>
  </dxfs>
  <tableStyles count="0" defaultTableStyle="TableStyleMedium2" defaultPivotStyle="PivotStyleLight16"/>
  <colors>
    <mruColors>
      <color rgb="FF9999FF"/>
      <color rgb="FF799098"/>
      <color rgb="FFF9663E"/>
      <color rgb="FF99CCFF"/>
      <color rgb="FF33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customXml" Target="../customXml/item3.xml"/><Relationship Id="rId21" Type="http://schemas.openxmlformats.org/officeDocument/2006/relationships/externalLink" Target="externalLinks/externalLink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theme" Target="theme/theme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69.xml.rels><?xml version="1.0" encoding="UTF-8" standalone="yes"?>
<Relationships xmlns="http://schemas.openxmlformats.org/package/2006/relationships"><Relationship Id="rId2" Type="http://schemas.microsoft.com/office/2011/relationships/chartColorStyle" Target="colors69.xml"/><Relationship Id="rId1" Type="http://schemas.microsoft.com/office/2011/relationships/chartStyle" Target="style69.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0.xml.rels><?xml version="1.0" encoding="UTF-8" standalone="yes"?>
<Relationships xmlns="http://schemas.openxmlformats.org/package/2006/relationships"><Relationship Id="rId2" Type="http://schemas.microsoft.com/office/2011/relationships/chartColorStyle" Target="colors70.xml"/><Relationship Id="rId1" Type="http://schemas.microsoft.com/office/2011/relationships/chartStyle" Target="style70.xml"/></Relationships>
</file>

<file path=xl/charts/_rels/chart71.xml.rels><?xml version="1.0" encoding="UTF-8" standalone="yes"?>
<Relationships xmlns="http://schemas.openxmlformats.org/package/2006/relationships"><Relationship Id="rId2" Type="http://schemas.microsoft.com/office/2011/relationships/chartColorStyle" Target="colors71.xml"/><Relationship Id="rId1" Type="http://schemas.microsoft.com/office/2011/relationships/chartStyle" Target="style71.xml"/></Relationships>
</file>

<file path=xl/charts/_rels/chart72.xml.rels><?xml version="1.0" encoding="UTF-8" standalone="yes"?>
<Relationships xmlns="http://schemas.openxmlformats.org/package/2006/relationships"><Relationship Id="rId2" Type="http://schemas.microsoft.com/office/2011/relationships/chartColorStyle" Target="colors72.xml"/><Relationship Id="rId1" Type="http://schemas.microsoft.com/office/2011/relationships/chartStyle" Target="style72.xml"/></Relationships>
</file>

<file path=xl/charts/_rels/chart73.xml.rels><?xml version="1.0" encoding="UTF-8" standalone="yes"?>
<Relationships xmlns="http://schemas.openxmlformats.org/package/2006/relationships"><Relationship Id="rId2" Type="http://schemas.microsoft.com/office/2011/relationships/chartColorStyle" Target="colors73.xml"/><Relationship Id="rId1" Type="http://schemas.microsoft.com/office/2011/relationships/chartStyle" Target="style73.xml"/></Relationships>
</file>

<file path=xl/charts/_rels/chart74.xml.rels><?xml version="1.0" encoding="UTF-8" standalone="yes"?>
<Relationships xmlns="http://schemas.openxmlformats.org/package/2006/relationships"><Relationship Id="rId2" Type="http://schemas.microsoft.com/office/2011/relationships/chartColorStyle" Target="colors74.xml"/><Relationship Id="rId1" Type="http://schemas.microsoft.com/office/2011/relationships/chartStyle" Target="style74.xml"/></Relationships>
</file>

<file path=xl/charts/_rels/chart75.xml.rels><?xml version="1.0" encoding="UTF-8" standalone="yes"?>
<Relationships xmlns="http://schemas.openxmlformats.org/package/2006/relationships"><Relationship Id="rId2" Type="http://schemas.microsoft.com/office/2011/relationships/chartColorStyle" Target="colors75.xml"/><Relationship Id="rId1" Type="http://schemas.microsoft.com/office/2011/relationships/chartStyle" Target="style75.xml"/></Relationships>
</file>

<file path=xl/charts/_rels/chart76.xml.rels><?xml version="1.0" encoding="UTF-8" standalone="yes"?>
<Relationships xmlns="http://schemas.openxmlformats.org/package/2006/relationships"><Relationship Id="rId2" Type="http://schemas.microsoft.com/office/2011/relationships/chartColorStyle" Target="colors76.xml"/><Relationship Id="rId1" Type="http://schemas.microsoft.com/office/2011/relationships/chartStyle" Target="style76.xml"/></Relationships>
</file>

<file path=xl/charts/_rels/chart77.xml.rels><?xml version="1.0" encoding="UTF-8" standalone="yes"?>
<Relationships xmlns="http://schemas.openxmlformats.org/package/2006/relationships"><Relationship Id="rId2" Type="http://schemas.microsoft.com/office/2011/relationships/chartColorStyle" Target="colors77.xml"/><Relationship Id="rId1" Type="http://schemas.microsoft.com/office/2011/relationships/chartStyle" Target="style77.xml"/></Relationships>
</file>

<file path=xl/charts/_rels/chart78.xml.rels><?xml version="1.0" encoding="UTF-8" standalone="yes"?>
<Relationships xmlns="http://schemas.openxmlformats.org/package/2006/relationships"><Relationship Id="rId2" Type="http://schemas.microsoft.com/office/2011/relationships/chartColorStyle" Target="colors78.xml"/><Relationship Id="rId1" Type="http://schemas.microsoft.com/office/2011/relationships/chartStyle" Target="style78.xml"/></Relationships>
</file>

<file path=xl/charts/_rels/chart79.xml.rels><?xml version="1.0" encoding="UTF-8" standalone="yes"?>
<Relationships xmlns="http://schemas.openxmlformats.org/package/2006/relationships"><Relationship Id="rId2" Type="http://schemas.microsoft.com/office/2011/relationships/chartColorStyle" Target="colors79.xml"/><Relationship Id="rId1" Type="http://schemas.microsoft.com/office/2011/relationships/chartStyle" Target="style79.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0.xml.rels><?xml version="1.0" encoding="UTF-8" standalone="yes"?>
<Relationships xmlns="http://schemas.openxmlformats.org/package/2006/relationships"><Relationship Id="rId2" Type="http://schemas.microsoft.com/office/2011/relationships/chartColorStyle" Target="colors80.xml"/><Relationship Id="rId1" Type="http://schemas.microsoft.com/office/2011/relationships/chartStyle" Target="style80.xml"/></Relationships>
</file>

<file path=xl/charts/_rels/chart81.xml.rels><?xml version="1.0" encoding="UTF-8" standalone="yes"?>
<Relationships xmlns="http://schemas.openxmlformats.org/package/2006/relationships"><Relationship Id="rId2" Type="http://schemas.microsoft.com/office/2011/relationships/chartColorStyle" Target="colors81.xml"/><Relationship Id="rId1" Type="http://schemas.microsoft.com/office/2011/relationships/chartStyle" Target="style81.xml"/></Relationships>
</file>

<file path=xl/charts/_rels/chart82.xml.rels><?xml version="1.0" encoding="UTF-8" standalone="yes"?>
<Relationships xmlns="http://schemas.openxmlformats.org/package/2006/relationships"><Relationship Id="rId2" Type="http://schemas.microsoft.com/office/2011/relationships/chartColorStyle" Target="colors82.xml"/><Relationship Id="rId1" Type="http://schemas.microsoft.com/office/2011/relationships/chartStyle" Target="style82.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Master!$B$90</c:f>
              <c:strCache>
                <c:ptCount val="1"/>
                <c:pt idx="0">
                  <c:v>Group</c:v>
                </c:pt>
              </c:strCache>
            </c:strRef>
          </c:tx>
          <c:spPr>
            <a:ln w="25400" cap="rnd">
              <a:solidFill>
                <a:srgbClr val="263238"/>
              </a:solidFill>
              <a:prstDash val="solid"/>
              <a:round/>
            </a:ln>
            <a:effectLst/>
          </c:spPr>
          <c:marker>
            <c:symbol val="none"/>
          </c:marker>
          <c:cat>
            <c:numRef>
              <c:f>Master!$G$1:$O$1</c:f>
              <c:numCache>
                <c:formatCode>General</c:formatCode>
                <c:ptCount val="9"/>
                <c:pt idx="0">
                  <c:v>2022</c:v>
                </c:pt>
                <c:pt idx="1">
                  <c:v>2023</c:v>
                </c:pt>
                <c:pt idx="2">
                  <c:v>2024</c:v>
                </c:pt>
                <c:pt idx="3">
                  <c:v>2025</c:v>
                </c:pt>
                <c:pt idx="4">
                  <c:v>2026</c:v>
                </c:pt>
                <c:pt idx="5">
                  <c:v>2027</c:v>
                </c:pt>
                <c:pt idx="6">
                  <c:v>2028</c:v>
                </c:pt>
                <c:pt idx="7">
                  <c:v>2029</c:v>
                </c:pt>
                <c:pt idx="8">
                  <c:v>2030</c:v>
                </c:pt>
              </c:numCache>
            </c:numRef>
          </c:cat>
          <c:val>
            <c:numRef>
              <c:f>Master!$G$93:$O$93</c:f>
              <c:numCache>
                <c:formatCode>0.0%</c:formatCode>
                <c:ptCount val="9"/>
                <c:pt idx="0">
                  <c:v>-7.440139564093283E-2</c:v>
                </c:pt>
                <c:pt idx="1">
                  <c:v>0.16127813468176219</c:v>
                </c:pt>
                <c:pt idx="2">
                  <c:v>0.23259354074369407</c:v>
                </c:pt>
                <c:pt idx="3">
                  <c:v>0.25249926571842951</c:v>
                </c:pt>
                <c:pt idx="4">
                  <c:v>0.2520851270785201</c:v>
                </c:pt>
                <c:pt idx="5">
                  <c:v>0.29423574550611098</c:v>
                </c:pt>
                <c:pt idx="6">
                  <c:v>0.31571861069449003</c:v>
                </c:pt>
                <c:pt idx="7">
                  <c:v>0.32249878730841608</c:v>
                </c:pt>
                <c:pt idx="8">
                  <c:v>0.34142482601914248</c:v>
                </c:pt>
              </c:numCache>
            </c:numRef>
          </c:val>
          <c:smooth val="0"/>
          <c:extLst>
            <c:ext xmlns:c16="http://schemas.microsoft.com/office/drawing/2014/chart" uri="{C3380CC4-5D6E-409C-BE32-E72D297353CC}">
              <c16:uniqueId val="{00000000-F21E-494D-A453-88A39742A0BF}"/>
            </c:ext>
          </c:extLst>
        </c:ser>
        <c:ser>
          <c:idx val="1"/>
          <c:order val="1"/>
          <c:tx>
            <c:strRef>
              <c:f>Master!$B$95</c:f>
              <c:strCache>
                <c:ptCount val="1"/>
                <c:pt idx="0">
                  <c:v>NU ex-Mexico</c:v>
                </c:pt>
              </c:strCache>
            </c:strRef>
          </c:tx>
          <c:spPr>
            <a:ln w="25400" cap="rnd">
              <a:solidFill>
                <a:srgbClr val="799098"/>
              </a:solidFill>
              <a:prstDash val="solid"/>
              <a:round/>
            </a:ln>
            <a:effectLst/>
          </c:spPr>
          <c:marker>
            <c:symbol val="none"/>
          </c:marker>
          <c:cat>
            <c:numRef>
              <c:f>Master!$G$1:$O$1</c:f>
              <c:numCache>
                <c:formatCode>General</c:formatCode>
                <c:ptCount val="9"/>
                <c:pt idx="0">
                  <c:v>2022</c:v>
                </c:pt>
                <c:pt idx="1">
                  <c:v>2023</c:v>
                </c:pt>
                <c:pt idx="2">
                  <c:v>2024</c:v>
                </c:pt>
                <c:pt idx="3">
                  <c:v>2025</c:v>
                </c:pt>
                <c:pt idx="4">
                  <c:v>2026</c:v>
                </c:pt>
                <c:pt idx="5">
                  <c:v>2027</c:v>
                </c:pt>
                <c:pt idx="6">
                  <c:v>2028</c:v>
                </c:pt>
                <c:pt idx="7">
                  <c:v>2029</c:v>
                </c:pt>
                <c:pt idx="8">
                  <c:v>2030</c:v>
                </c:pt>
              </c:numCache>
            </c:numRef>
          </c:cat>
          <c:val>
            <c:numRef>
              <c:f>Master!$G$98:$O$98</c:f>
              <c:numCache>
                <c:formatCode>0.0%</c:formatCode>
                <c:ptCount val="9"/>
                <c:pt idx="0">
                  <c:v>-8.1429245608595074E-2</c:v>
                </c:pt>
                <c:pt idx="1">
                  <c:v>0.18382069459069897</c:v>
                </c:pt>
                <c:pt idx="2">
                  <c:v>0.25767828014558752</c:v>
                </c:pt>
                <c:pt idx="3">
                  <c:v>0.27364072986080579</c:v>
                </c:pt>
                <c:pt idx="4">
                  <c:v>0.2568412083245728</c:v>
                </c:pt>
                <c:pt idx="5">
                  <c:v>0.29463028798464469</c:v>
                </c:pt>
                <c:pt idx="6">
                  <c:v>0.27847837649919488</c:v>
                </c:pt>
                <c:pt idx="7">
                  <c:v>0.29787887892967729</c:v>
                </c:pt>
                <c:pt idx="8">
                  <c:v>0.33330154480118207</c:v>
                </c:pt>
              </c:numCache>
            </c:numRef>
          </c:val>
          <c:smooth val="0"/>
          <c:extLst>
            <c:ext xmlns:c16="http://schemas.microsoft.com/office/drawing/2014/chart" uri="{C3380CC4-5D6E-409C-BE32-E72D297353CC}">
              <c16:uniqueId val="{00000001-F21E-494D-A453-88A39742A0BF}"/>
            </c:ext>
          </c:extLst>
        </c:ser>
        <c:dLbls>
          <c:showLegendKey val="0"/>
          <c:showVal val="0"/>
          <c:showCatName val="0"/>
          <c:showSerName val="0"/>
          <c:showPercent val="0"/>
          <c:showBubbleSize val="0"/>
        </c:dLbls>
        <c:smooth val="0"/>
        <c:axId val="698690240"/>
        <c:axId val="698696960"/>
      </c:lineChart>
      <c:catAx>
        <c:axId val="69869024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698696960"/>
        <c:crosses val="autoZero"/>
        <c:auto val="1"/>
        <c:lblAlgn val="ctr"/>
        <c:lblOffset val="100"/>
        <c:noMultiLvlLbl val="0"/>
      </c:catAx>
      <c:valAx>
        <c:axId val="698696960"/>
        <c:scaling>
          <c:orientation val="minMax"/>
        </c:scaling>
        <c:delete val="1"/>
        <c:axPos val="l"/>
        <c:numFmt formatCode="0.0%" sourceLinked="1"/>
        <c:majorTickMark val="out"/>
        <c:minorTickMark val="none"/>
        <c:tickLblPos val="nextTo"/>
        <c:crossAx val="69869024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Analysis!$C$129</c:f>
              <c:strCache>
                <c:ptCount val="1"/>
                <c:pt idx="0">
                  <c:v>2020</c:v>
                </c:pt>
              </c:strCache>
            </c:strRef>
          </c:tx>
          <c:spPr>
            <a:solidFill>
              <a:srgbClr val="000080"/>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Analysis!$B$130:$B$134</c:f>
              <c:strCache>
                <c:ptCount val="5"/>
                <c:pt idx="0">
                  <c:v>Mortgages</c:v>
                </c:pt>
                <c:pt idx="1">
                  <c:v>Payroll</c:v>
                </c:pt>
                <c:pt idx="2">
                  <c:v>Auto</c:v>
                </c:pt>
                <c:pt idx="3">
                  <c:v>Personal loans</c:v>
                </c:pt>
                <c:pt idx="4">
                  <c:v>Credit cards</c:v>
                </c:pt>
              </c:strCache>
            </c:strRef>
          </c:cat>
          <c:val>
            <c:numRef>
              <c:f>Analysis!$C$130:$C$134</c:f>
              <c:numCache>
                <c:formatCode>0</c:formatCode>
                <c:ptCount val="5"/>
                <c:pt idx="0">
                  <c:v>5.4</c:v>
                </c:pt>
                <c:pt idx="1">
                  <c:v>11.6</c:v>
                </c:pt>
                <c:pt idx="2">
                  <c:v>7</c:v>
                </c:pt>
                <c:pt idx="3">
                  <c:v>14.7</c:v>
                </c:pt>
                <c:pt idx="4">
                  <c:v>10.9</c:v>
                </c:pt>
              </c:numCache>
            </c:numRef>
          </c:val>
          <c:extLst>
            <c:ext xmlns:c16="http://schemas.microsoft.com/office/drawing/2014/chart" uri="{C3380CC4-5D6E-409C-BE32-E72D297353CC}">
              <c16:uniqueId val="{00000000-93F8-4072-9D64-B5DC51CA93BA}"/>
            </c:ext>
          </c:extLst>
        </c:ser>
        <c:ser>
          <c:idx val="1"/>
          <c:order val="1"/>
          <c:tx>
            <c:strRef>
              <c:f>Analysis!$D$129</c:f>
              <c:strCache>
                <c:ptCount val="1"/>
                <c:pt idx="0">
                  <c:v>2025</c:v>
                </c:pt>
              </c:strCache>
            </c:strRef>
          </c:tx>
          <c:spPr>
            <a:solidFill>
              <a:srgbClr val="9999FF"/>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Analysis!$B$130:$B$134</c:f>
              <c:strCache>
                <c:ptCount val="5"/>
                <c:pt idx="0">
                  <c:v>Mortgages</c:v>
                </c:pt>
                <c:pt idx="1">
                  <c:v>Payroll</c:v>
                </c:pt>
                <c:pt idx="2">
                  <c:v>Auto</c:v>
                </c:pt>
                <c:pt idx="3">
                  <c:v>Personal loans</c:v>
                </c:pt>
                <c:pt idx="4">
                  <c:v>Credit cards</c:v>
                </c:pt>
              </c:strCache>
            </c:strRef>
          </c:cat>
          <c:val>
            <c:numRef>
              <c:f>Analysis!$D$130:$D$134</c:f>
              <c:numCache>
                <c:formatCode>0</c:formatCode>
                <c:ptCount val="5"/>
                <c:pt idx="0">
                  <c:v>2.2999999999999998</c:v>
                </c:pt>
                <c:pt idx="1">
                  <c:v>15.3</c:v>
                </c:pt>
                <c:pt idx="2">
                  <c:v>8.1</c:v>
                </c:pt>
                <c:pt idx="3">
                  <c:v>20</c:v>
                </c:pt>
                <c:pt idx="4">
                  <c:v>15.3</c:v>
                </c:pt>
              </c:numCache>
            </c:numRef>
          </c:val>
          <c:extLst>
            <c:ext xmlns:c16="http://schemas.microsoft.com/office/drawing/2014/chart" uri="{C3380CC4-5D6E-409C-BE32-E72D297353CC}">
              <c16:uniqueId val="{00000001-93F8-4072-9D64-B5DC51CA93BA}"/>
            </c:ext>
          </c:extLst>
        </c:ser>
        <c:dLbls>
          <c:showLegendKey val="0"/>
          <c:showVal val="0"/>
          <c:showCatName val="0"/>
          <c:showSerName val="0"/>
          <c:showPercent val="0"/>
          <c:showBubbleSize val="0"/>
        </c:dLbls>
        <c:gapWidth val="219"/>
        <c:overlap val="-27"/>
        <c:axId val="515809807"/>
        <c:axId val="515825615"/>
      </c:barChart>
      <c:catAx>
        <c:axId val="515809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15825615"/>
        <c:crosses val="autoZero"/>
        <c:auto val="1"/>
        <c:lblAlgn val="ctr"/>
        <c:lblOffset val="100"/>
        <c:noMultiLvlLbl val="0"/>
      </c:catAx>
      <c:valAx>
        <c:axId val="515825615"/>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15809807"/>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Analysis!$B$146</c:f>
              <c:strCache>
                <c:ptCount val="1"/>
                <c:pt idx="0">
                  <c:v>Nubank</c:v>
                </c:pt>
              </c:strCache>
            </c:strRef>
          </c:tx>
          <c:spPr>
            <a:ln w="25400" cap="rnd">
              <a:solidFill>
                <a:srgbClr val="333399"/>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Analysis!$C$145:$E$145</c:f>
              <c:strCache>
                <c:ptCount val="3"/>
                <c:pt idx="0">
                  <c:v>2019</c:v>
                </c:pt>
                <c:pt idx="1">
                  <c:v>2020</c:v>
                </c:pt>
                <c:pt idx="2">
                  <c:v>2021*</c:v>
                </c:pt>
              </c:strCache>
            </c:strRef>
          </c:cat>
          <c:val>
            <c:numRef>
              <c:f>Analysis!$C$146:$E$146</c:f>
              <c:numCache>
                <c:formatCode>General</c:formatCode>
                <c:ptCount val="3"/>
                <c:pt idx="0">
                  <c:v>12.1</c:v>
                </c:pt>
                <c:pt idx="1">
                  <c:v>21.8</c:v>
                </c:pt>
                <c:pt idx="2">
                  <c:v>35.299999999999997</c:v>
                </c:pt>
              </c:numCache>
            </c:numRef>
          </c:val>
          <c:smooth val="0"/>
          <c:extLst>
            <c:ext xmlns:c16="http://schemas.microsoft.com/office/drawing/2014/chart" uri="{C3380CC4-5D6E-409C-BE32-E72D297353CC}">
              <c16:uniqueId val="{00000000-42AD-4A53-89C4-AC022C9A40C7}"/>
            </c:ext>
          </c:extLst>
        </c:ser>
        <c:ser>
          <c:idx val="1"/>
          <c:order val="1"/>
          <c:tx>
            <c:strRef>
              <c:f>Analysis!$B$147</c:f>
              <c:strCache>
                <c:ptCount val="1"/>
                <c:pt idx="0">
                  <c:v>Banco Inter</c:v>
                </c:pt>
              </c:strCache>
            </c:strRef>
          </c:tx>
          <c:spPr>
            <a:ln w="25400" cap="rnd">
              <a:solidFill>
                <a:srgbClr val="99CCFF"/>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Analysis!$C$145:$E$145</c:f>
              <c:strCache>
                <c:ptCount val="3"/>
                <c:pt idx="0">
                  <c:v>2019</c:v>
                </c:pt>
                <c:pt idx="1">
                  <c:v>2020</c:v>
                </c:pt>
                <c:pt idx="2">
                  <c:v>2021*</c:v>
                </c:pt>
              </c:strCache>
            </c:strRef>
          </c:cat>
          <c:val>
            <c:numRef>
              <c:f>Analysis!$C$147:$E$147</c:f>
              <c:numCache>
                <c:formatCode>General</c:formatCode>
                <c:ptCount val="3"/>
                <c:pt idx="0">
                  <c:v>2.2000000000000002</c:v>
                </c:pt>
                <c:pt idx="1">
                  <c:v>4.8</c:v>
                </c:pt>
                <c:pt idx="2">
                  <c:v>7.9</c:v>
                </c:pt>
              </c:numCache>
            </c:numRef>
          </c:val>
          <c:smooth val="0"/>
          <c:extLst>
            <c:ext xmlns:c16="http://schemas.microsoft.com/office/drawing/2014/chart" uri="{C3380CC4-5D6E-409C-BE32-E72D297353CC}">
              <c16:uniqueId val="{00000001-42AD-4A53-89C4-AC022C9A40C7}"/>
            </c:ext>
          </c:extLst>
        </c:ser>
        <c:ser>
          <c:idx val="2"/>
          <c:order val="2"/>
          <c:tx>
            <c:strRef>
              <c:f>Analysis!$B$148</c:f>
              <c:strCache>
                <c:ptCount val="1"/>
                <c:pt idx="0">
                  <c:v>Picpay</c:v>
                </c:pt>
              </c:strCache>
            </c:strRef>
          </c:tx>
          <c:spPr>
            <a:ln w="25400" cap="rnd">
              <a:solidFill>
                <a:srgbClr val="333399"/>
              </a:solidFill>
              <a:prstDash val="lg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Analysis!$C$145:$E$145</c:f>
              <c:strCache>
                <c:ptCount val="3"/>
                <c:pt idx="0">
                  <c:v>2019</c:v>
                </c:pt>
                <c:pt idx="1">
                  <c:v>2020</c:v>
                </c:pt>
                <c:pt idx="2">
                  <c:v>2021*</c:v>
                </c:pt>
              </c:strCache>
            </c:strRef>
          </c:cat>
          <c:val>
            <c:numRef>
              <c:f>Analysis!$C$148:$E$148</c:f>
              <c:numCache>
                <c:formatCode>General</c:formatCode>
                <c:ptCount val="3"/>
                <c:pt idx="0">
                  <c:v>3.1</c:v>
                </c:pt>
                <c:pt idx="1">
                  <c:v>16.2</c:v>
                </c:pt>
                <c:pt idx="2">
                  <c:v>28</c:v>
                </c:pt>
              </c:numCache>
            </c:numRef>
          </c:val>
          <c:smooth val="0"/>
          <c:extLst>
            <c:ext xmlns:c16="http://schemas.microsoft.com/office/drawing/2014/chart" uri="{C3380CC4-5D6E-409C-BE32-E72D297353CC}">
              <c16:uniqueId val="{00000002-42AD-4A53-89C4-AC022C9A40C7}"/>
            </c:ext>
          </c:extLst>
        </c:ser>
        <c:ser>
          <c:idx val="3"/>
          <c:order val="3"/>
          <c:tx>
            <c:strRef>
              <c:f>Analysis!$B$149</c:f>
              <c:strCache>
                <c:ptCount val="1"/>
                <c:pt idx="0">
                  <c:v>Mercado pago</c:v>
                </c:pt>
              </c:strCache>
            </c:strRef>
          </c:tx>
          <c:spPr>
            <a:ln w="25400" cap="rnd">
              <a:solidFill>
                <a:srgbClr val="99CCFF"/>
              </a:solidFill>
              <a:prstDash val="lg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Analysis!$C$145:$E$145</c:f>
              <c:strCache>
                <c:ptCount val="3"/>
                <c:pt idx="0">
                  <c:v>2019</c:v>
                </c:pt>
                <c:pt idx="1">
                  <c:v>2020</c:v>
                </c:pt>
                <c:pt idx="2">
                  <c:v>2021*</c:v>
                </c:pt>
              </c:strCache>
            </c:strRef>
          </c:cat>
          <c:val>
            <c:numRef>
              <c:f>Analysis!$C$149:$E$149</c:f>
              <c:numCache>
                <c:formatCode>General</c:formatCode>
                <c:ptCount val="3"/>
                <c:pt idx="0">
                  <c:v>7.9</c:v>
                </c:pt>
                <c:pt idx="1">
                  <c:v>14.2</c:v>
                </c:pt>
                <c:pt idx="2">
                  <c:v>16.8</c:v>
                </c:pt>
              </c:numCache>
            </c:numRef>
          </c:val>
          <c:smooth val="0"/>
          <c:extLst>
            <c:ext xmlns:c16="http://schemas.microsoft.com/office/drawing/2014/chart" uri="{C3380CC4-5D6E-409C-BE32-E72D297353CC}">
              <c16:uniqueId val="{00000003-42AD-4A53-89C4-AC022C9A40C7}"/>
            </c:ext>
          </c:extLst>
        </c:ser>
        <c:ser>
          <c:idx val="4"/>
          <c:order val="4"/>
          <c:tx>
            <c:strRef>
              <c:f>Analysis!$B$150</c:f>
              <c:strCache>
                <c:ptCount val="1"/>
                <c:pt idx="0">
                  <c:v>PagBank</c:v>
                </c:pt>
              </c:strCache>
            </c:strRef>
          </c:tx>
          <c:spPr>
            <a:ln w="25400" cap="rnd">
              <a:solidFill>
                <a:srgbClr val="333399"/>
              </a:solidFill>
              <a:prstDash val="sysDash"/>
              <a:round/>
            </a:ln>
            <a:effectLst/>
          </c:spPr>
          <c:marker>
            <c:symbol val="none"/>
          </c:marker>
          <c:dLbls>
            <c:dLbl>
              <c:idx val="1"/>
              <c:layout>
                <c:manualLayout>
                  <c:x val="-5.2234795330367539E-2"/>
                  <c:y val="-1.4357566720290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2AD-4A53-89C4-AC022C9A40C7}"/>
                </c:ext>
              </c:extLst>
            </c:dLbl>
            <c:dLbl>
              <c:idx val="2"/>
              <c:layout>
                <c:manualLayout>
                  <c:x val="-6.7110837103554671E-2"/>
                  <c:y val="-2.945216082039341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2AD-4A53-89C4-AC022C9A40C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Analysis!$C$145:$E$145</c:f>
              <c:strCache>
                <c:ptCount val="3"/>
                <c:pt idx="0">
                  <c:v>2019</c:v>
                </c:pt>
                <c:pt idx="1">
                  <c:v>2020</c:v>
                </c:pt>
                <c:pt idx="2">
                  <c:v>2021*</c:v>
                </c:pt>
              </c:strCache>
            </c:strRef>
          </c:cat>
          <c:val>
            <c:numRef>
              <c:f>Analysis!$C$150:$E$150</c:f>
              <c:numCache>
                <c:formatCode>General</c:formatCode>
                <c:ptCount val="3"/>
                <c:pt idx="0">
                  <c:v>2</c:v>
                </c:pt>
                <c:pt idx="1">
                  <c:v>8</c:v>
                </c:pt>
                <c:pt idx="2">
                  <c:v>11.2</c:v>
                </c:pt>
              </c:numCache>
            </c:numRef>
          </c:val>
          <c:smooth val="0"/>
          <c:extLst>
            <c:ext xmlns:c16="http://schemas.microsoft.com/office/drawing/2014/chart" uri="{C3380CC4-5D6E-409C-BE32-E72D297353CC}">
              <c16:uniqueId val="{00000004-42AD-4A53-89C4-AC022C9A40C7}"/>
            </c:ext>
          </c:extLst>
        </c:ser>
        <c:dLbls>
          <c:showLegendKey val="0"/>
          <c:showVal val="0"/>
          <c:showCatName val="0"/>
          <c:showSerName val="0"/>
          <c:showPercent val="0"/>
          <c:showBubbleSize val="0"/>
        </c:dLbls>
        <c:smooth val="0"/>
        <c:axId val="1095104287"/>
        <c:axId val="1095111359"/>
      </c:lineChart>
      <c:catAx>
        <c:axId val="109510428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95111359"/>
        <c:crosses val="autoZero"/>
        <c:auto val="1"/>
        <c:lblAlgn val="ctr"/>
        <c:lblOffset val="100"/>
        <c:noMultiLvlLbl val="0"/>
      </c:catAx>
      <c:valAx>
        <c:axId val="1095111359"/>
        <c:scaling>
          <c:orientation val="minMax"/>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95104287"/>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spPr>
            <a:solidFill>
              <a:srgbClr val="333399"/>
            </a:solidFill>
            <a:ln w="25400">
              <a:solidFill>
                <a:srgbClr val="333399"/>
              </a:solidFill>
              <a:prstDash val="solid"/>
            </a:ln>
            <a:effectLst/>
          </c:spPr>
          <c:invertIfNegative val="0"/>
          <c:val>
            <c:numRef>
              <c:f>Analysis!$C$214:$I$214</c:f>
              <c:numCache>
                <c:formatCode>0</c:formatCode>
                <c:ptCount val="7"/>
                <c:pt idx="0">
                  <c:v>81.099999999999994</c:v>
                </c:pt>
                <c:pt idx="1">
                  <c:v>87.2</c:v>
                </c:pt>
                <c:pt idx="2">
                  <c:v>317.42</c:v>
                </c:pt>
                <c:pt idx="3">
                  <c:v>1408</c:v>
                </c:pt>
                <c:pt idx="4">
                  <c:v>1723</c:v>
                </c:pt>
                <c:pt idx="5">
                  <c:v>2319.4204600881767</c:v>
                </c:pt>
                <c:pt idx="6">
                  <c:v>2805.3573036878447</c:v>
                </c:pt>
              </c:numCache>
            </c:numRef>
          </c:val>
          <c:extLst>
            <c:ext xmlns:c16="http://schemas.microsoft.com/office/drawing/2014/chart" uri="{C3380CC4-5D6E-409C-BE32-E72D297353CC}">
              <c16:uniqueId val="{00000004-DAA0-406F-857E-A123B1BC8986}"/>
            </c:ext>
          </c:extLst>
        </c:ser>
        <c:dLbls>
          <c:showLegendKey val="0"/>
          <c:showVal val="0"/>
          <c:showCatName val="0"/>
          <c:showSerName val="0"/>
          <c:showPercent val="0"/>
          <c:showBubbleSize val="0"/>
        </c:dLbls>
        <c:gapWidth val="150"/>
        <c:axId val="715204799"/>
        <c:axId val="715201471"/>
      </c:barChart>
      <c:lineChart>
        <c:grouping val="standard"/>
        <c:varyColors val="0"/>
        <c:ser>
          <c:idx val="0"/>
          <c:order val="0"/>
          <c:tx>
            <c:strRef>
              <c:f>Analysis!$B$213</c:f>
              <c:strCache>
                <c:ptCount val="1"/>
                <c:pt idx="0">
                  <c:v>Nubank</c:v>
                </c:pt>
              </c:strCache>
            </c:strRef>
          </c:tx>
          <c:spPr>
            <a:ln w="28575" cap="rnd">
              <a:solidFill>
                <a:srgbClr val="9999FF"/>
              </a:solidFill>
              <a:round/>
            </a:ln>
            <a:effectLst/>
          </c:spPr>
          <c:marker>
            <c:symbol val="none"/>
          </c:marker>
          <c:dLbls>
            <c:dLbl>
              <c:idx val="6"/>
              <c:layout>
                <c:manualLayout>
                  <c:x val="1.2038952554509513E-2"/>
                  <c:y val="6.7495453690348548E-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AA0-406F-857E-A123B1BC898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Analysis!$C$212:$I$212</c:f>
              <c:numCache>
                <c:formatCode>General</c:formatCode>
                <c:ptCount val="7"/>
                <c:pt idx="0">
                  <c:v>2019</c:v>
                </c:pt>
                <c:pt idx="1">
                  <c:v>2020</c:v>
                </c:pt>
                <c:pt idx="2">
                  <c:v>2021</c:v>
                </c:pt>
                <c:pt idx="3">
                  <c:v>2022</c:v>
                </c:pt>
                <c:pt idx="4">
                  <c:v>2023</c:v>
                </c:pt>
                <c:pt idx="5">
                  <c:v>2024</c:v>
                </c:pt>
                <c:pt idx="6">
                  <c:v>2025</c:v>
                </c:pt>
              </c:numCache>
            </c:numRef>
          </c:cat>
          <c:val>
            <c:numRef>
              <c:f>Analysis!$C$213:$I$213</c:f>
              <c:numCache>
                <c:formatCode>0%</c:formatCode>
                <c:ptCount val="7"/>
                <c:pt idx="0">
                  <c:v>0.81925299077850455</c:v>
                </c:pt>
                <c:pt idx="1">
                  <c:v>0.76056448712463331</c:v>
                </c:pt>
                <c:pt idx="2">
                  <c:v>0.95684707704500005</c:v>
                </c:pt>
                <c:pt idx="3">
                  <c:v>0.87038144188514732</c:v>
                </c:pt>
                <c:pt idx="4">
                  <c:v>0.65534433806905668</c:v>
                </c:pt>
                <c:pt idx="5">
                  <c:v>0.8103443380690567</c:v>
                </c:pt>
                <c:pt idx="6">
                  <c:v>0.8103443380690567</c:v>
                </c:pt>
              </c:numCache>
            </c:numRef>
          </c:val>
          <c:smooth val="1"/>
          <c:extLst>
            <c:ext xmlns:c16="http://schemas.microsoft.com/office/drawing/2014/chart" uri="{C3380CC4-5D6E-409C-BE32-E72D297353CC}">
              <c16:uniqueId val="{00000000-DAA0-406F-857E-A123B1BC8986}"/>
            </c:ext>
          </c:extLst>
        </c:ser>
        <c:dLbls>
          <c:showLegendKey val="0"/>
          <c:showVal val="0"/>
          <c:showCatName val="0"/>
          <c:showSerName val="0"/>
          <c:showPercent val="0"/>
          <c:showBubbleSize val="0"/>
        </c:dLbls>
        <c:marker val="1"/>
        <c:smooth val="0"/>
        <c:axId val="715196063"/>
        <c:axId val="715189823"/>
      </c:lineChart>
      <c:catAx>
        <c:axId val="715196063"/>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5189823"/>
        <c:crosses val="autoZero"/>
        <c:auto val="1"/>
        <c:lblAlgn val="ctr"/>
        <c:lblOffset val="100"/>
        <c:noMultiLvlLbl val="0"/>
      </c:catAx>
      <c:valAx>
        <c:axId val="715189823"/>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5196063"/>
        <c:crosses val="autoZero"/>
        <c:crossBetween val="between"/>
      </c:valAx>
      <c:valAx>
        <c:axId val="715201471"/>
        <c:scaling>
          <c:orientation val="minMax"/>
        </c:scaling>
        <c:delete val="0"/>
        <c:axPos val="r"/>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15204799"/>
        <c:crosses val="max"/>
        <c:crossBetween val="between"/>
      </c:valAx>
      <c:catAx>
        <c:axId val="715204799"/>
        <c:scaling>
          <c:orientation val="minMax"/>
        </c:scaling>
        <c:delete val="1"/>
        <c:axPos val="b"/>
        <c:majorTickMark val="out"/>
        <c:minorTickMark val="none"/>
        <c:tickLblPos val="nextTo"/>
        <c:crossAx val="715201471"/>
        <c:crosses val="autoZero"/>
        <c:auto val="1"/>
        <c:lblAlgn val="ctr"/>
        <c:lblOffset val="100"/>
        <c:noMultiLvlLbl val="0"/>
      </c:cat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Analysis!$C$180</c:f>
              <c:strCache>
                <c:ptCount val="1"/>
                <c:pt idx="0">
                  <c:v>9m 20</c:v>
                </c:pt>
              </c:strCache>
            </c:strRef>
          </c:tx>
          <c:spPr>
            <a:solidFill>
              <a:srgbClr val="000080"/>
            </a:solidFill>
            <a:ln w="25400">
              <a:noFill/>
            </a:ln>
            <a:effectLst/>
          </c:spPr>
          <c:invertIfNegative val="0"/>
          <c:cat>
            <c:strRef>
              <c:f>Analysis!$B$181:$B$182</c:f>
              <c:strCache>
                <c:ptCount val="2"/>
                <c:pt idx="0">
                  <c:v>Nubank</c:v>
                </c:pt>
                <c:pt idx="1">
                  <c:v>Inter</c:v>
                </c:pt>
              </c:strCache>
            </c:strRef>
          </c:cat>
          <c:val>
            <c:numRef>
              <c:f>Analysis!$C$181:$C$182</c:f>
              <c:numCache>
                <c:formatCode>0.0</c:formatCode>
                <c:ptCount val="2"/>
                <c:pt idx="0">
                  <c:v>17.544</c:v>
                </c:pt>
                <c:pt idx="1">
                  <c:v>23.19</c:v>
                </c:pt>
              </c:numCache>
            </c:numRef>
          </c:val>
          <c:extLst>
            <c:ext xmlns:c16="http://schemas.microsoft.com/office/drawing/2014/chart" uri="{C3380CC4-5D6E-409C-BE32-E72D297353CC}">
              <c16:uniqueId val="{00000000-23DE-41A0-8A09-1BFAD902C243}"/>
            </c:ext>
          </c:extLst>
        </c:ser>
        <c:ser>
          <c:idx val="1"/>
          <c:order val="1"/>
          <c:tx>
            <c:strRef>
              <c:f>Analysis!$D$180</c:f>
              <c:strCache>
                <c:ptCount val="1"/>
                <c:pt idx="0">
                  <c:v>9m 21</c:v>
                </c:pt>
              </c:strCache>
            </c:strRef>
          </c:tx>
          <c:spPr>
            <a:solidFill>
              <a:srgbClr val="9999FF"/>
            </a:solidFill>
            <a:ln w="25400">
              <a:noFill/>
            </a:ln>
            <a:effectLst/>
          </c:spPr>
          <c:invertIfNegative val="0"/>
          <c:cat>
            <c:strRef>
              <c:f>Analysis!$B$181:$B$182</c:f>
              <c:strCache>
                <c:ptCount val="2"/>
                <c:pt idx="0">
                  <c:v>Nubank</c:v>
                </c:pt>
                <c:pt idx="1">
                  <c:v>Inter</c:v>
                </c:pt>
              </c:strCache>
            </c:strRef>
          </c:cat>
          <c:val>
            <c:numRef>
              <c:f>Analysis!$D$181:$D$182</c:f>
              <c:numCache>
                <c:formatCode>0.0</c:formatCode>
                <c:ptCount val="2"/>
                <c:pt idx="0">
                  <c:v>26.745000000000001</c:v>
                </c:pt>
                <c:pt idx="1">
                  <c:v>28.57</c:v>
                </c:pt>
              </c:numCache>
            </c:numRef>
          </c:val>
          <c:extLst>
            <c:ext xmlns:c16="http://schemas.microsoft.com/office/drawing/2014/chart" uri="{C3380CC4-5D6E-409C-BE32-E72D297353CC}">
              <c16:uniqueId val="{00000001-23DE-41A0-8A09-1BFAD902C243}"/>
            </c:ext>
          </c:extLst>
        </c:ser>
        <c:dLbls>
          <c:showLegendKey val="0"/>
          <c:showVal val="0"/>
          <c:showCatName val="0"/>
          <c:showSerName val="0"/>
          <c:showPercent val="0"/>
          <c:showBubbleSize val="0"/>
        </c:dLbls>
        <c:gapWidth val="219"/>
        <c:overlap val="-27"/>
        <c:axId val="1021041855"/>
        <c:axId val="1021026463"/>
      </c:barChart>
      <c:catAx>
        <c:axId val="1021041855"/>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21026463"/>
        <c:crosses val="autoZero"/>
        <c:auto val="1"/>
        <c:lblAlgn val="ctr"/>
        <c:lblOffset val="100"/>
        <c:noMultiLvlLbl val="0"/>
      </c:catAx>
      <c:valAx>
        <c:axId val="1021026463"/>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21041855"/>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Analysis!$C$226</c:f>
              <c:strCache>
                <c:ptCount val="1"/>
                <c:pt idx="0">
                  <c:v>2019</c:v>
                </c:pt>
              </c:strCache>
            </c:strRef>
          </c:tx>
          <c:spPr>
            <a:solidFill>
              <a:srgbClr val="000080"/>
            </a:solidFill>
            <a:ln w="25400">
              <a:noFill/>
            </a:ln>
            <a:effectLst/>
          </c:spPr>
          <c:invertIfNegative val="0"/>
          <c:cat>
            <c:strRef>
              <c:f>Analysis!$B$227:$B$233</c:f>
              <c:strCache>
                <c:ptCount val="7"/>
                <c:pt idx="0">
                  <c:v>Nubank cc receivables</c:v>
                </c:pt>
                <c:pt idx="1">
                  <c:v>Nubank personal loans</c:v>
                </c:pt>
                <c:pt idx="2">
                  <c:v>Inter</c:v>
                </c:pt>
                <c:pt idx="3">
                  <c:v>MercadoLibre</c:v>
                </c:pt>
                <c:pt idx="4">
                  <c:v>Pagbank</c:v>
                </c:pt>
                <c:pt idx="5">
                  <c:v>Stone</c:v>
                </c:pt>
                <c:pt idx="6">
                  <c:v>PicPay</c:v>
                </c:pt>
              </c:strCache>
            </c:strRef>
          </c:cat>
          <c:val>
            <c:numRef>
              <c:f>Analysis!$C$227:$C$233</c:f>
              <c:numCache>
                <c:formatCode>#,##0</c:formatCode>
                <c:ptCount val="7"/>
                <c:pt idx="0">
                  <c:v>11229.595000000001</c:v>
                </c:pt>
                <c:pt idx="1">
                  <c:v>233.74</c:v>
                </c:pt>
                <c:pt idx="2">
                  <c:v>5063.3999999999996</c:v>
                </c:pt>
                <c:pt idx="3">
                  <c:v>1084.71</c:v>
                </c:pt>
                <c:pt idx="4">
                  <c:v>376</c:v>
                </c:pt>
                <c:pt idx="5">
                  <c:v>166</c:v>
                </c:pt>
              </c:numCache>
            </c:numRef>
          </c:val>
          <c:extLst>
            <c:ext xmlns:c16="http://schemas.microsoft.com/office/drawing/2014/chart" uri="{C3380CC4-5D6E-409C-BE32-E72D297353CC}">
              <c16:uniqueId val="{00000000-831E-4BAB-B1DF-8B4695107A7A}"/>
            </c:ext>
          </c:extLst>
        </c:ser>
        <c:ser>
          <c:idx val="1"/>
          <c:order val="1"/>
          <c:tx>
            <c:strRef>
              <c:f>Analysis!$D$226</c:f>
              <c:strCache>
                <c:ptCount val="1"/>
                <c:pt idx="0">
                  <c:v>2020</c:v>
                </c:pt>
              </c:strCache>
            </c:strRef>
          </c:tx>
          <c:spPr>
            <a:solidFill>
              <a:srgbClr val="9999FF"/>
            </a:solidFill>
            <a:ln w="25400">
              <a:noFill/>
            </a:ln>
            <a:effectLst/>
          </c:spPr>
          <c:invertIfNegative val="0"/>
          <c:cat>
            <c:strRef>
              <c:f>Analysis!$B$227:$B$233</c:f>
              <c:strCache>
                <c:ptCount val="7"/>
                <c:pt idx="0">
                  <c:v>Nubank cc receivables</c:v>
                </c:pt>
                <c:pt idx="1">
                  <c:v>Nubank personal loans</c:v>
                </c:pt>
                <c:pt idx="2">
                  <c:v>Inter</c:v>
                </c:pt>
                <c:pt idx="3">
                  <c:v>MercadoLibre</c:v>
                </c:pt>
                <c:pt idx="4">
                  <c:v>Pagbank</c:v>
                </c:pt>
                <c:pt idx="5">
                  <c:v>Stone</c:v>
                </c:pt>
                <c:pt idx="6">
                  <c:v>PicPay</c:v>
                </c:pt>
              </c:strCache>
            </c:strRef>
          </c:cat>
          <c:val>
            <c:numRef>
              <c:f>Analysis!$D$227:$D$233</c:f>
              <c:numCache>
                <c:formatCode>#,##0</c:formatCode>
                <c:ptCount val="7"/>
                <c:pt idx="0">
                  <c:v>15097.191000000001</c:v>
                </c:pt>
                <c:pt idx="1">
                  <c:v>906.69299999999998</c:v>
                </c:pt>
                <c:pt idx="2">
                  <c:v>9448.9</c:v>
                </c:pt>
                <c:pt idx="3">
                  <c:v>2486.0100000000002</c:v>
                </c:pt>
                <c:pt idx="4">
                  <c:v>612</c:v>
                </c:pt>
                <c:pt idx="5">
                  <c:v>1514</c:v>
                </c:pt>
              </c:numCache>
            </c:numRef>
          </c:val>
          <c:extLst>
            <c:ext xmlns:c16="http://schemas.microsoft.com/office/drawing/2014/chart" uri="{C3380CC4-5D6E-409C-BE32-E72D297353CC}">
              <c16:uniqueId val="{00000001-831E-4BAB-B1DF-8B4695107A7A}"/>
            </c:ext>
          </c:extLst>
        </c:ser>
        <c:ser>
          <c:idx val="2"/>
          <c:order val="2"/>
          <c:tx>
            <c:strRef>
              <c:f>Analysis!$E$226</c:f>
              <c:strCache>
                <c:ptCount val="1"/>
                <c:pt idx="0">
                  <c:v>9m 2021</c:v>
                </c:pt>
              </c:strCache>
            </c:strRef>
          </c:tx>
          <c:spPr>
            <a:solidFill>
              <a:srgbClr val="3366FF"/>
            </a:solidFill>
            <a:ln w="25400">
              <a:noFill/>
            </a:ln>
            <a:effectLst/>
          </c:spPr>
          <c:invertIfNegative val="0"/>
          <c:cat>
            <c:strRef>
              <c:f>Analysis!$B$227:$B$233</c:f>
              <c:strCache>
                <c:ptCount val="7"/>
                <c:pt idx="0">
                  <c:v>Nubank cc receivables</c:v>
                </c:pt>
                <c:pt idx="1">
                  <c:v>Nubank personal loans</c:v>
                </c:pt>
                <c:pt idx="2">
                  <c:v>Inter</c:v>
                </c:pt>
                <c:pt idx="3">
                  <c:v>MercadoLibre</c:v>
                </c:pt>
                <c:pt idx="4">
                  <c:v>Pagbank</c:v>
                </c:pt>
                <c:pt idx="5">
                  <c:v>Stone</c:v>
                </c:pt>
                <c:pt idx="6">
                  <c:v>PicPay</c:v>
                </c:pt>
              </c:strCache>
            </c:strRef>
          </c:cat>
          <c:val>
            <c:numRef>
              <c:f>Analysis!$E$227:$E$233</c:f>
              <c:numCache>
                <c:formatCode>#,##0</c:formatCode>
                <c:ptCount val="7"/>
                <c:pt idx="0">
                  <c:v>22097.280000000002</c:v>
                </c:pt>
                <c:pt idx="1">
                  <c:v>4313.92</c:v>
                </c:pt>
                <c:pt idx="2">
                  <c:v>15893</c:v>
                </c:pt>
                <c:pt idx="3">
                  <c:v>6130.88</c:v>
                </c:pt>
                <c:pt idx="4">
                  <c:v>1600</c:v>
                </c:pt>
                <c:pt idx="5">
                  <c:v>1591</c:v>
                </c:pt>
                <c:pt idx="6">
                  <c:v>560.9</c:v>
                </c:pt>
              </c:numCache>
            </c:numRef>
          </c:val>
          <c:extLst>
            <c:ext xmlns:c16="http://schemas.microsoft.com/office/drawing/2014/chart" uri="{C3380CC4-5D6E-409C-BE32-E72D297353CC}">
              <c16:uniqueId val="{00000002-831E-4BAB-B1DF-8B4695107A7A}"/>
            </c:ext>
          </c:extLst>
        </c:ser>
        <c:dLbls>
          <c:showLegendKey val="0"/>
          <c:showVal val="0"/>
          <c:showCatName val="0"/>
          <c:showSerName val="0"/>
          <c:showPercent val="0"/>
          <c:showBubbleSize val="0"/>
        </c:dLbls>
        <c:gapWidth val="219"/>
        <c:overlap val="-27"/>
        <c:axId val="2141586735"/>
        <c:axId val="2141587151"/>
      </c:barChart>
      <c:catAx>
        <c:axId val="2141586735"/>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141587151"/>
        <c:crosses val="autoZero"/>
        <c:auto val="1"/>
        <c:lblAlgn val="ctr"/>
        <c:lblOffset val="100"/>
        <c:noMultiLvlLbl val="0"/>
      </c:catAx>
      <c:valAx>
        <c:axId val="2141587151"/>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141586735"/>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Analysis!$B$269</c:f>
              <c:strCache>
                <c:ptCount val="1"/>
                <c:pt idx="0">
                  <c:v>ARPU, $</c:v>
                </c:pt>
              </c:strCache>
            </c:strRef>
          </c:tx>
          <c:spPr>
            <a:solidFill>
              <a:srgbClr val="000080"/>
            </a:solidFill>
            <a:ln w="25400">
              <a:noFill/>
            </a:ln>
            <a:effectLst/>
          </c:spPr>
          <c:invertIfNegative val="0"/>
          <c:cat>
            <c:numRef>
              <c:f>Analysis!$C$265:$J$265</c:f>
              <c:numCache>
                <c:formatCode>General</c:formatCode>
                <c:ptCount val="8"/>
                <c:pt idx="0">
                  <c:v>2021</c:v>
                </c:pt>
                <c:pt idx="1">
                  <c:v>2022</c:v>
                </c:pt>
                <c:pt idx="2">
                  <c:v>2023</c:v>
                </c:pt>
                <c:pt idx="3">
                  <c:v>2024</c:v>
                </c:pt>
                <c:pt idx="4">
                  <c:v>2025</c:v>
                </c:pt>
                <c:pt idx="5">
                  <c:v>2026</c:v>
                </c:pt>
                <c:pt idx="6">
                  <c:v>2027</c:v>
                </c:pt>
                <c:pt idx="7">
                  <c:v>2028</c:v>
                </c:pt>
              </c:numCache>
            </c:numRef>
          </c:cat>
          <c:val>
            <c:numRef>
              <c:f>Analysis!$C$269:$J$269</c:f>
              <c:numCache>
                <c:formatCode>General</c:formatCode>
                <c:ptCount val="8"/>
                <c:pt idx="0">
                  <c:v>0</c:v>
                </c:pt>
                <c:pt idx="1">
                  <c:v>6</c:v>
                </c:pt>
                <c:pt idx="2">
                  <c:v>7</c:v>
                </c:pt>
                <c:pt idx="3">
                  <c:v>7</c:v>
                </c:pt>
                <c:pt idx="4">
                  <c:v>7</c:v>
                </c:pt>
                <c:pt idx="5">
                  <c:v>7.5</c:v>
                </c:pt>
                <c:pt idx="6">
                  <c:v>8.5</c:v>
                </c:pt>
                <c:pt idx="7">
                  <c:v>9.5</c:v>
                </c:pt>
              </c:numCache>
            </c:numRef>
          </c:val>
          <c:extLst>
            <c:ext xmlns:c16="http://schemas.microsoft.com/office/drawing/2014/chart" uri="{C3380CC4-5D6E-409C-BE32-E72D297353CC}">
              <c16:uniqueId val="{00000001-DA6C-43CA-A06C-57E7A39DBDC4}"/>
            </c:ext>
          </c:extLst>
        </c:ser>
        <c:dLbls>
          <c:showLegendKey val="0"/>
          <c:showVal val="0"/>
          <c:showCatName val="0"/>
          <c:showSerName val="0"/>
          <c:showPercent val="0"/>
          <c:showBubbleSize val="0"/>
        </c:dLbls>
        <c:gapWidth val="150"/>
        <c:axId val="1208283920"/>
        <c:axId val="1208290160"/>
      </c:barChart>
      <c:lineChart>
        <c:grouping val="standard"/>
        <c:varyColors val="0"/>
        <c:ser>
          <c:idx val="0"/>
          <c:order val="0"/>
          <c:tx>
            <c:strRef>
              <c:f>Analysis!$B$268</c:f>
              <c:strCache>
                <c:ptCount val="1"/>
                <c:pt idx="0">
                  <c:v>Insurance as % Active</c:v>
                </c:pt>
              </c:strCache>
            </c:strRef>
          </c:tx>
          <c:spPr>
            <a:ln w="25400" cap="rnd">
              <a:solidFill>
                <a:srgbClr val="9999FF"/>
              </a:solidFill>
              <a:prstDash val="solid"/>
              <a:round/>
            </a:ln>
            <a:effectLst/>
          </c:spPr>
          <c:marker>
            <c:symbol val="none"/>
          </c:marker>
          <c:cat>
            <c:numRef>
              <c:f>Analysis!$C$265:$J$265</c:f>
              <c:numCache>
                <c:formatCode>General</c:formatCode>
                <c:ptCount val="8"/>
                <c:pt idx="0">
                  <c:v>2021</c:v>
                </c:pt>
                <c:pt idx="1">
                  <c:v>2022</c:v>
                </c:pt>
                <c:pt idx="2">
                  <c:v>2023</c:v>
                </c:pt>
                <c:pt idx="3">
                  <c:v>2024</c:v>
                </c:pt>
                <c:pt idx="4">
                  <c:v>2025</c:v>
                </c:pt>
                <c:pt idx="5">
                  <c:v>2026</c:v>
                </c:pt>
                <c:pt idx="6">
                  <c:v>2027</c:v>
                </c:pt>
                <c:pt idx="7">
                  <c:v>2028</c:v>
                </c:pt>
              </c:numCache>
            </c:numRef>
          </c:cat>
          <c:val>
            <c:numRef>
              <c:f>Analysis!$C$268:$J$268</c:f>
              <c:numCache>
                <c:formatCode>0.0%</c:formatCode>
                <c:ptCount val="8"/>
                <c:pt idx="0">
                  <c:v>3.0000000000000002E-2</c:v>
                </c:pt>
                <c:pt idx="1">
                  <c:v>7.0000000000000007E-2</c:v>
                </c:pt>
                <c:pt idx="2">
                  <c:v>0.08</c:v>
                </c:pt>
                <c:pt idx="3">
                  <c:v>9.9999999999999992E-2</c:v>
                </c:pt>
                <c:pt idx="4">
                  <c:v>0.11999999999999998</c:v>
                </c:pt>
                <c:pt idx="5">
                  <c:v>0.13</c:v>
                </c:pt>
                <c:pt idx="6">
                  <c:v>0.14000000000000001</c:v>
                </c:pt>
                <c:pt idx="7">
                  <c:v>0.15000000000000002</c:v>
                </c:pt>
              </c:numCache>
            </c:numRef>
          </c:val>
          <c:smooth val="0"/>
          <c:extLst>
            <c:ext xmlns:c16="http://schemas.microsoft.com/office/drawing/2014/chart" uri="{C3380CC4-5D6E-409C-BE32-E72D297353CC}">
              <c16:uniqueId val="{00000000-DA6C-43CA-A06C-57E7A39DBDC4}"/>
            </c:ext>
          </c:extLst>
        </c:ser>
        <c:dLbls>
          <c:showLegendKey val="0"/>
          <c:showVal val="0"/>
          <c:showCatName val="0"/>
          <c:showSerName val="0"/>
          <c:showPercent val="0"/>
          <c:showBubbleSize val="0"/>
        </c:dLbls>
        <c:marker val="1"/>
        <c:smooth val="0"/>
        <c:axId val="1208347152"/>
        <c:axId val="1208310544"/>
      </c:lineChart>
      <c:catAx>
        <c:axId val="1208283920"/>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290160"/>
        <c:crosses val="autoZero"/>
        <c:auto val="1"/>
        <c:lblAlgn val="ctr"/>
        <c:lblOffset val="100"/>
        <c:noMultiLvlLbl val="0"/>
      </c:catAx>
      <c:valAx>
        <c:axId val="1208290160"/>
        <c:scaling>
          <c:orientation val="minMax"/>
        </c:scaling>
        <c:delete val="0"/>
        <c:axPos val="l"/>
        <c:majorGridlines>
          <c:spPr>
            <a:ln w="3175" cap="flat" cmpd="sng" algn="ctr">
              <a:solidFill>
                <a:srgbClr val="C0C0C0"/>
              </a:solidFill>
              <a:prstDash val="solid"/>
              <a:round/>
            </a:ln>
            <a:effectLst/>
          </c:spPr>
        </c:majorGridlines>
        <c:numFmt formatCode="General"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283920"/>
        <c:crosses val="autoZero"/>
        <c:crossBetween val="between"/>
      </c:valAx>
      <c:valAx>
        <c:axId val="1208310544"/>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347152"/>
        <c:crosses val="max"/>
        <c:crossBetween val="between"/>
      </c:valAx>
      <c:catAx>
        <c:axId val="1208347152"/>
        <c:scaling>
          <c:orientation val="minMax"/>
        </c:scaling>
        <c:delete val="1"/>
        <c:axPos val="b"/>
        <c:numFmt formatCode="General" sourceLinked="1"/>
        <c:majorTickMark val="out"/>
        <c:minorTickMark val="none"/>
        <c:tickLblPos val="nextTo"/>
        <c:crossAx val="1208310544"/>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Analysis!$B$273</c:f>
              <c:strCache>
                <c:ptCount val="1"/>
                <c:pt idx="0">
                  <c:v>GMV/sub, $</c:v>
                </c:pt>
              </c:strCache>
            </c:strRef>
          </c:tx>
          <c:spPr>
            <a:solidFill>
              <a:srgbClr val="000080"/>
            </a:solidFill>
            <a:ln w="25400">
              <a:noFill/>
            </a:ln>
            <a:effectLst/>
          </c:spPr>
          <c:invertIfNegative val="0"/>
          <c:cat>
            <c:numRef>
              <c:f>Analysis!$C$265:$J$265</c:f>
              <c:numCache>
                <c:formatCode>General</c:formatCode>
                <c:ptCount val="8"/>
                <c:pt idx="0">
                  <c:v>2021</c:v>
                </c:pt>
                <c:pt idx="1">
                  <c:v>2022</c:v>
                </c:pt>
                <c:pt idx="2">
                  <c:v>2023</c:v>
                </c:pt>
                <c:pt idx="3">
                  <c:v>2024</c:v>
                </c:pt>
                <c:pt idx="4">
                  <c:v>2025</c:v>
                </c:pt>
                <c:pt idx="5">
                  <c:v>2026</c:v>
                </c:pt>
                <c:pt idx="6">
                  <c:v>2027</c:v>
                </c:pt>
                <c:pt idx="7">
                  <c:v>2028</c:v>
                </c:pt>
              </c:numCache>
            </c:numRef>
          </c:cat>
          <c:val>
            <c:numRef>
              <c:f>Analysis!$C$273:$J$273</c:f>
              <c:numCache>
                <c:formatCode>0</c:formatCode>
                <c:ptCount val="8"/>
                <c:pt idx="0">
                  <c:v>233.89428423159612</c:v>
                </c:pt>
                <c:pt idx="1">
                  <c:v>244.5736434108527</c:v>
                </c:pt>
                <c:pt idx="2">
                  <c:v>252.90581162324648</c:v>
                </c:pt>
                <c:pt idx="3">
                  <c:v>240.74074074074073</c:v>
                </c:pt>
                <c:pt idx="4">
                  <c:v>233.8129496402878</c:v>
                </c:pt>
                <c:pt idx="5">
                  <c:v>233.8129496402878</c:v>
                </c:pt>
                <c:pt idx="6">
                  <c:v>233.8129496402878</c:v>
                </c:pt>
                <c:pt idx="7">
                  <c:v>233.8129496402878</c:v>
                </c:pt>
              </c:numCache>
            </c:numRef>
          </c:val>
          <c:extLst>
            <c:ext xmlns:c16="http://schemas.microsoft.com/office/drawing/2014/chart" uri="{C3380CC4-5D6E-409C-BE32-E72D297353CC}">
              <c16:uniqueId val="{00000000-551A-4433-AAB7-BB436AA3D9F0}"/>
            </c:ext>
          </c:extLst>
        </c:ser>
        <c:dLbls>
          <c:showLegendKey val="0"/>
          <c:showVal val="0"/>
          <c:showCatName val="0"/>
          <c:showSerName val="0"/>
          <c:showPercent val="0"/>
          <c:showBubbleSize val="0"/>
        </c:dLbls>
        <c:gapWidth val="150"/>
        <c:axId val="1208283920"/>
        <c:axId val="1208290160"/>
      </c:barChart>
      <c:lineChart>
        <c:grouping val="standard"/>
        <c:varyColors val="0"/>
        <c:ser>
          <c:idx val="0"/>
          <c:order val="0"/>
          <c:tx>
            <c:strRef>
              <c:f>Analysis!$B$272</c:f>
              <c:strCache>
                <c:ptCount val="1"/>
                <c:pt idx="0">
                  <c:v>Marketplace as % Active</c:v>
                </c:pt>
              </c:strCache>
            </c:strRef>
          </c:tx>
          <c:spPr>
            <a:ln w="25400" cap="rnd">
              <a:solidFill>
                <a:srgbClr val="9999FF"/>
              </a:solidFill>
              <a:prstDash val="solid"/>
              <a:round/>
            </a:ln>
            <a:effectLst/>
          </c:spPr>
          <c:marker>
            <c:symbol val="none"/>
          </c:marker>
          <c:cat>
            <c:numRef>
              <c:f>Analysis!$C$265:$J$265</c:f>
              <c:numCache>
                <c:formatCode>General</c:formatCode>
                <c:ptCount val="8"/>
                <c:pt idx="0">
                  <c:v>2021</c:v>
                </c:pt>
                <c:pt idx="1">
                  <c:v>2022</c:v>
                </c:pt>
                <c:pt idx="2">
                  <c:v>2023</c:v>
                </c:pt>
                <c:pt idx="3">
                  <c:v>2024</c:v>
                </c:pt>
                <c:pt idx="4">
                  <c:v>2025</c:v>
                </c:pt>
                <c:pt idx="5">
                  <c:v>2026</c:v>
                </c:pt>
                <c:pt idx="6">
                  <c:v>2027</c:v>
                </c:pt>
                <c:pt idx="7">
                  <c:v>2028</c:v>
                </c:pt>
              </c:numCache>
            </c:numRef>
          </c:cat>
          <c:val>
            <c:numRef>
              <c:f>Analysis!$C$272:$J$272</c:f>
              <c:numCache>
                <c:formatCode>0.0%</c:formatCode>
                <c:ptCount val="8"/>
                <c:pt idx="0">
                  <c:v>0</c:v>
                </c:pt>
                <c:pt idx="1">
                  <c:v>0.04</c:v>
                </c:pt>
                <c:pt idx="2">
                  <c:v>0.06</c:v>
                </c:pt>
                <c:pt idx="3">
                  <c:v>7.0000000000000007E-2</c:v>
                </c:pt>
                <c:pt idx="4">
                  <c:v>0.08</c:v>
                </c:pt>
                <c:pt idx="5">
                  <c:v>0.09</c:v>
                </c:pt>
                <c:pt idx="6">
                  <c:v>0.1</c:v>
                </c:pt>
                <c:pt idx="7">
                  <c:v>0.1</c:v>
                </c:pt>
              </c:numCache>
            </c:numRef>
          </c:val>
          <c:smooth val="0"/>
          <c:extLst>
            <c:ext xmlns:c16="http://schemas.microsoft.com/office/drawing/2014/chart" uri="{C3380CC4-5D6E-409C-BE32-E72D297353CC}">
              <c16:uniqueId val="{00000001-551A-4433-AAB7-BB436AA3D9F0}"/>
            </c:ext>
          </c:extLst>
        </c:ser>
        <c:dLbls>
          <c:showLegendKey val="0"/>
          <c:showVal val="0"/>
          <c:showCatName val="0"/>
          <c:showSerName val="0"/>
          <c:showPercent val="0"/>
          <c:showBubbleSize val="0"/>
        </c:dLbls>
        <c:marker val="1"/>
        <c:smooth val="0"/>
        <c:axId val="1208347152"/>
        <c:axId val="1208310544"/>
      </c:lineChart>
      <c:catAx>
        <c:axId val="1208283920"/>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290160"/>
        <c:crosses val="autoZero"/>
        <c:auto val="1"/>
        <c:lblAlgn val="ctr"/>
        <c:lblOffset val="100"/>
        <c:noMultiLvlLbl val="0"/>
      </c:catAx>
      <c:valAx>
        <c:axId val="1208290160"/>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283920"/>
        <c:crosses val="autoZero"/>
        <c:crossBetween val="between"/>
      </c:valAx>
      <c:valAx>
        <c:axId val="1208310544"/>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208347152"/>
        <c:crosses val="max"/>
        <c:crossBetween val="between"/>
      </c:valAx>
      <c:catAx>
        <c:axId val="1208347152"/>
        <c:scaling>
          <c:orientation val="minMax"/>
        </c:scaling>
        <c:delete val="1"/>
        <c:axPos val="b"/>
        <c:numFmt formatCode="General" sourceLinked="1"/>
        <c:majorTickMark val="out"/>
        <c:minorTickMark val="none"/>
        <c:tickLblPos val="nextTo"/>
        <c:crossAx val="1208310544"/>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Analysis!$B$298</c:f>
              <c:strCache>
                <c:ptCount val="1"/>
                <c:pt idx="0">
                  <c:v>Nubank</c:v>
                </c:pt>
              </c:strCache>
            </c:strRef>
          </c:tx>
          <c:spPr>
            <a:ln w="25400" cap="rnd">
              <a:solidFill>
                <a:srgbClr val="333399"/>
              </a:solidFill>
              <a:prstDash val="solid"/>
              <a:round/>
            </a:ln>
            <a:effectLst/>
          </c:spPr>
          <c:marker>
            <c:symbol val="none"/>
          </c:marker>
          <c:cat>
            <c:strRef>
              <c:f>Analysis!$C$297:$I$297</c:f>
              <c:strCache>
                <c:ptCount val="7"/>
                <c:pt idx="0">
                  <c:v>Q1 20</c:v>
                </c:pt>
                <c:pt idx="1">
                  <c:v>Q2 20</c:v>
                </c:pt>
                <c:pt idx="2">
                  <c:v>Q3 20</c:v>
                </c:pt>
                <c:pt idx="3">
                  <c:v>Q4 20</c:v>
                </c:pt>
                <c:pt idx="4">
                  <c:v>Q1 21</c:v>
                </c:pt>
                <c:pt idx="5">
                  <c:v>Q2 21</c:v>
                </c:pt>
                <c:pt idx="6">
                  <c:v>Q3 21</c:v>
                </c:pt>
              </c:strCache>
            </c:strRef>
          </c:cat>
          <c:val>
            <c:numRef>
              <c:f>Analysis!$C$298:$I$298</c:f>
              <c:numCache>
                <c:formatCode>0.0%</c:formatCode>
                <c:ptCount val="7"/>
                <c:pt idx="1">
                  <c:v>0.58718422674060389</c:v>
                </c:pt>
                <c:pt idx="2">
                  <c:v>0.43113388853299178</c:v>
                </c:pt>
                <c:pt idx="3">
                  <c:v>0.37759131293188558</c:v>
                </c:pt>
                <c:pt idx="4">
                  <c:v>0.47224489795918362</c:v>
                </c:pt>
                <c:pt idx="5">
                  <c:v>0.49509074680154724</c:v>
                </c:pt>
                <c:pt idx="6">
                  <c:v>0.4655853607818673</c:v>
                </c:pt>
              </c:numCache>
            </c:numRef>
          </c:val>
          <c:smooth val="0"/>
          <c:extLst>
            <c:ext xmlns:c16="http://schemas.microsoft.com/office/drawing/2014/chart" uri="{C3380CC4-5D6E-409C-BE32-E72D297353CC}">
              <c16:uniqueId val="{00000000-6300-460F-AB69-73BEB0C072B4}"/>
            </c:ext>
          </c:extLst>
        </c:ser>
        <c:ser>
          <c:idx val="1"/>
          <c:order val="1"/>
          <c:tx>
            <c:strRef>
              <c:f>Analysis!$B$299</c:f>
              <c:strCache>
                <c:ptCount val="1"/>
                <c:pt idx="0">
                  <c:v>Inter</c:v>
                </c:pt>
              </c:strCache>
            </c:strRef>
          </c:tx>
          <c:spPr>
            <a:ln w="25400" cap="rnd">
              <a:solidFill>
                <a:srgbClr val="99CCFF"/>
              </a:solidFill>
              <a:prstDash val="solid"/>
              <a:round/>
            </a:ln>
            <a:effectLst/>
          </c:spPr>
          <c:marker>
            <c:symbol val="none"/>
          </c:marker>
          <c:cat>
            <c:strRef>
              <c:f>Analysis!$C$297:$I$297</c:f>
              <c:strCache>
                <c:ptCount val="7"/>
                <c:pt idx="0">
                  <c:v>Q1 20</c:v>
                </c:pt>
                <c:pt idx="1">
                  <c:v>Q2 20</c:v>
                </c:pt>
                <c:pt idx="2">
                  <c:v>Q3 20</c:v>
                </c:pt>
                <c:pt idx="3">
                  <c:v>Q4 20</c:v>
                </c:pt>
                <c:pt idx="4">
                  <c:v>Q1 21</c:v>
                </c:pt>
                <c:pt idx="5">
                  <c:v>Q2 21</c:v>
                </c:pt>
                <c:pt idx="6">
                  <c:v>Q3 21</c:v>
                </c:pt>
              </c:strCache>
            </c:strRef>
          </c:cat>
          <c:val>
            <c:numRef>
              <c:f>Analysis!$C$299:$I$299</c:f>
              <c:numCache>
                <c:formatCode>0.0%</c:formatCode>
                <c:ptCount val="7"/>
                <c:pt idx="0">
                  <c:v>0.44740335697903821</c:v>
                </c:pt>
                <c:pt idx="1">
                  <c:v>0.600208171658562</c:v>
                </c:pt>
                <c:pt idx="2">
                  <c:v>0.61460790185216518</c:v>
                </c:pt>
                <c:pt idx="3">
                  <c:v>0.62040651377295619</c:v>
                </c:pt>
                <c:pt idx="4">
                  <c:v>0.5827472804931374</c:v>
                </c:pt>
                <c:pt idx="5">
                  <c:v>0.52471418970877748</c:v>
                </c:pt>
                <c:pt idx="6">
                  <c:v>0.49535877012596818</c:v>
                </c:pt>
              </c:numCache>
            </c:numRef>
          </c:val>
          <c:smooth val="0"/>
          <c:extLst>
            <c:ext xmlns:c16="http://schemas.microsoft.com/office/drawing/2014/chart" uri="{C3380CC4-5D6E-409C-BE32-E72D297353CC}">
              <c16:uniqueId val="{00000001-6300-460F-AB69-73BEB0C072B4}"/>
            </c:ext>
          </c:extLst>
        </c:ser>
        <c:dLbls>
          <c:showLegendKey val="0"/>
          <c:showVal val="0"/>
          <c:showCatName val="0"/>
          <c:showSerName val="0"/>
          <c:showPercent val="0"/>
          <c:showBubbleSize val="0"/>
        </c:dLbls>
        <c:smooth val="0"/>
        <c:axId val="763205424"/>
        <c:axId val="763210416"/>
      </c:lineChart>
      <c:catAx>
        <c:axId val="763205424"/>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63210416"/>
        <c:crosses val="autoZero"/>
        <c:auto val="1"/>
        <c:lblAlgn val="ctr"/>
        <c:lblOffset val="100"/>
        <c:noMultiLvlLbl val="0"/>
      </c:catAx>
      <c:valAx>
        <c:axId val="763210416"/>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6320542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2"/>
            <c:invertIfNegative val="0"/>
            <c:bubble3D val="0"/>
            <c:spPr>
              <a:solidFill>
                <a:schemeClr val="accent1">
                  <a:lumMod val="20000"/>
                  <a:lumOff val="80000"/>
                </a:schemeClr>
              </a:solidFill>
              <a:ln w="25400">
                <a:solidFill>
                  <a:schemeClr val="bg1">
                    <a:lumMod val="50000"/>
                  </a:schemeClr>
                </a:solidFill>
              </a:ln>
              <a:effectLst/>
            </c:spPr>
            <c:extLst>
              <c:ext xmlns:c16="http://schemas.microsoft.com/office/drawing/2014/chart" uri="{C3380CC4-5D6E-409C-BE32-E72D297353CC}">
                <c16:uniqueId val="{00000002-F7AD-4331-9CF1-C06B7A9C4D96}"/>
              </c:ext>
            </c:extLst>
          </c:dPt>
          <c:dPt>
            <c:idx val="7"/>
            <c:invertIfNegative val="0"/>
            <c:bubble3D val="0"/>
            <c:spPr>
              <a:solidFill>
                <a:schemeClr val="accent1">
                  <a:lumMod val="20000"/>
                  <a:lumOff val="80000"/>
                </a:schemeClr>
              </a:solidFill>
              <a:ln w="25400">
                <a:solidFill>
                  <a:schemeClr val="bg1">
                    <a:lumMod val="50000"/>
                  </a:schemeClr>
                </a:solidFill>
              </a:ln>
              <a:effectLst/>
            </c:spPr>
            <c:extLst>
              <c:ext xmlns:c16="http://schemas.microsoft.com/office/drawing/2014/chart" uri="{C3380CC4-5D6E-409C-BE32-E72D297353CC}">
                <c16:uniqueId val="{00000003-F7AD-4331-9CF1-C06B7A9C4D96}"/>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Analysis!$C$320:$C$327</c:f>
              <c:strCache>
                <c:ptCount val="8"/>
                <c:pt idx="0">
                  <c:v>Nu credit cards</c:v>
                </c:pt>
                <c:pt idx="1">
                  <c:v>Nu personal loans</c:v>
                </c:pt>
                <c:pt idx="2">
                  <c:v>Nu Group</c:v>
                </c:pt>
                <c:pt idx="4">
                  <c:v>Inter Payroll</c:v>
                </c:pt>
                <c:pt idx="5">
                  <c:v>Inter Real estate</c:v>
                </c:pt>
                <c:pt idx="6">
                  <c:v>Inter SME</c:v>
                </c:pt>
                <c:pt idx="7">
                  <c:v>Inter Group*</c:v>
                </c:pt>
              </c:strCache>
            </c:strRef>
          </c:cat>
          <c:val>
            <c:numRef>
              <c:f>Analysis!$D$320:$D$327</c:f>
              <c:numCache>
                <c:formatCode>0%</c:formatCode>
                <c:ptCount val="8"/>
                <c:pt idx="0">
                  <c:v>0.70025008931761346</c:v>
                </c:pt>
                <c:pt idx="1">
                  <c:v>0.44398483281627027</c:v>
                </c:pt>
                <c:pt idx="2">
                  <c:v>0.56982456140350879</c:v>
                </c:pt>
                <c:pt idx="4">
                  <c:v>0.23899999999999999</c:v>
                </c:pt>
                <c:pt idx="5">
                  <c:v>0.13400000000000001</c:v>
                </c:pt>
                <c:pt idx="6">
                  <c:v>5.0999999999999997E-2</c:v>
                </c:pt>
                <c:pt idx="7">
                  <c:v>0.182</c:v>
                </c:pt>
              </c:numCache>
            </c:numRef>
          </c:val>
          <c:extLst>
            <c:ext xmlns:c16="http://schemas.microsoft.com/office/drawing/2014/chart" uri="{C3380CC4-5D6E-409C-BE32-E72D297353CC}">
              <c16:uniqueId val="{00000000-F7AD-4331-9CF1-C06B7A9C4D96}"/>
            </c:ext>
          </c:extLst>
        </c:ser>
        <c:dLbls>
          <c:showLegendKey val="0"/>
          <c:showVal val="0"/>
          <c:showCatName val="0"/>
          <c:showSerName val="0"/>
          <c:showPercent val="0"/>
          <c:showBubbleSize val="0"/>
        </c:dLbls>
        <c:gapWidth val="219"/>
        <c:overlap val="-27"/>
        <c:axId val="328687263"/>
        <c:axId val="328680607"/>
      </c:barChart>
      <c:catAx>
        <c:axId val="328687263"/>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8680607"/>
        <c:crosses val="autoZero"/>
        <c:auto val="1"/>
        <c:lblAlgn val="ctr"/>
        <c:lblOffset val="100"/>
        <c:noMultiLvlLbl val="0"/>
      </c:catAx>
      <c:valAx>
        <c:axId val="328680607"/>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328687263"/>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Analysis!$P$179:$P$181</c:f>
              <c:strCache>
                <c:ptCount val="3"/>
                <c:pt idx="0">
                  <c:v>Credit cards</c:v>
                </c:pt>
                <c:pt idx="1">
                  <c:v>Personal loans</c:v>
                </c:pt>
                <c:pt idx="2">
                  <c:v>Blended</c:v>
                </c:pt>
              </c:strCache>
            </c:strRef>
          </c:cat>
          <c:val>
            <c:numRef>
              <c:f>Analysis!$Q$179:$Q$181</c:f>
              <c:numCache>
                <c:formatCode>0</c:formatCode>
                <c:ptCount val="3"/>
              </c:numCache>
            </c:numRef>
          </c:val>
          <c:extLst>
            <c:ext xmlns:c16="http://schemas.microsoft.com/office/drawing/2014/chart" uri="{C3380CC4-5D6E-409C-BE32-E72D297353CC}">
              <c16:uniqueId val="{00000000-5182-4B5D-98E7-7304DA9F72D3}"/>
            </c:ext>
          </c:extLst>
        </c:ser>
        <c:ser>
          <c:idx val="1"/>
          <c:order val="1"/>
          <c:spPr>
            <a:solidFill>
              <a:srgbClr val="333399"/>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Analysis!$P$179:$P$181</c:f>
              <c:strCache>
                <c:ptCount val="3"/>
                <c:pt idx="0">
                  <c:v>Credit cards</c:v>
                </c:pt>
                <c:pt idx="1">
                  <c:v>Personal loans</c:v>
                </c:pt>
                <c:pt idx="2">
                  <c:v>Blended</c:v>
                </c:pt>
              </c:strCache>
            </c:strRef>
          </c:cat>
          <c:val>
            <c:numRef>
              <c:f>Analysis!$R$179:$R$181</c:f>
              <c:numCache>
                <c:formatCode>0.0%</c:formatCode>
                <c:ptCount val="3"/>
                <c:pt idx="0">
                  <c:v>8.7263531412645201E-2</c:v>
                </c:pt>
                <c:pt idx="1">
                  <c:v>0.38892411752272243</c:v>
                </c:pt>
                <c:pt idx="2">
                  <c:v>0.12602629169188748</c:v>
                </c:pt>
              </c:numCache>
            </c:numRef>
          </c:val>
          <c:extLst>
            <c:ext xmlns:c16="http://schemas.microsoft.com/office/drawing/2014/chart" uri="{C3380CC4-5D6E-409C-BE32-E72D297353CC}">
              <c16:uniqueId val="{00000001-5182-4B5D-98E7-7304DA9F72D3}"/>
            </c:ext>
          </c:extLst>
        </c:ser>
        <c:dLbls>
          <c:showLegendKey val="0"/>
          <c:showVal val="0"/>
          <c:showCatName val="0"/>
          <c:showSerName val="0"/>
          <c:showPercent val="0"/>
          <c:showBubbleSize val="0"/>
        </c:dLbls>
        <c:gapWidth val="219"/>
        <c:overlap val="-27"/>
        <c:axId val="1432240495"/>
        <c:axId val="1432246735"/>
      </c:barChart>
      <c:catAx>
        <c:axId val="1432240495"/>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32246735"/>
        <c:crosses val="autoZero"/>
        <c:auto val="1"/>
        <c:lblAlgn val="ctr"/>
        <c:lblOffset val="100"/>
        <c:noMultiLvlLbl val="0"/>
      </c:catAx>
      <c:valAx>
        <c:axId val="1432246735"/>
        <c:scaling>
          <c:orientation val="minMax"/>
        </c:scaling>
        <c:delete val="0"/>
        <c:axPos val="l"/>
        <c:majorGridlines>
          <c:spPr>
            <a:ln w="3175" cap="flat" cmpd="sng" algn="ctr">
              <a:solidFill>
                <a:srgbClr val="C0C0C0"/>
              </a:solidFill>
              <a:prstDash val="solid"/>
              <a:round/>
            </a:ln>
            <a:effectLst/>
          </c:spPr>
        </c:majorGridlines>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432240495"/>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30685864853343"/>
          <c:y val="8.1260832705615377E-2"/>
          <c:w val="0.59359763472373084"/>
          <c:h val="0.64468781837114364"/>
        </c:manualLayout>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2-7C0D-491F-99F9-DA574EB6418D}"/>
              </c:ext>
            </c:extLst>
          </c:dPt>
          <c:dPt>
            <c:idx val="1"/>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3-7C0D-491F-99F9-DA574EB6418D}"/>
              </c:ext>
            </c:extLst>
          </c:dPt>
          <c:dPt>
            <c:idx val="2"/>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4-7C0D-491F-99F9-DA574EB6418D}"/>
              </c:ext>
            </c:extLst>
          </c:dPt>
          <c:dPt>
            <c:idx val="3"/>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5-7C0D-491F-99F9-DA574EB6418D}"/>
              </c:ext>
            </c:extLst>
          </c:dPt>
          <c:dPt>
            <c:idx val="4"/>
            <c:bubble3D val="0"/>
            <c:spPr>
              <a:pattFill prst="wdDnDiag">
                <a:fgClr>
                  <a:srgbClr val="969696"/>
                </a:fgClr>
                <a:bgClr>
                  <a:srgbClr val="969696"/>
                </a:bgClr>
              </a:pattFill>
              <a:ln w="25400">
                <a:noFill/>
              </a:ln>
              <a:effectLst/>
            </c:spPr>
            <c:extLst>
              <c:ext xmlns:c16="http://schemas.microsoft.com/office/drawing/2014/chart" uri="{C3380CC4-5D6E-409C-BE32-E72D297353CC}">
                <c16:uniqueId val="{00000009-971A-494D-B03D-4C41031A272F}"/>
              </c:ext>
            </c:extLst>
          </c:dPt>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extLst>
          </c:dLbls>
          <c:cat>
            <c:strRef>
              <c:f>Analysis!$B$5:$B$9</c:f>
              <c:strCache>
                <c:ptCount val="5"/>
                <c:pt idx="0">
                  <c:v>Interest income – credit card</c:v>
                </c:pt>
                <c:pt idx="1">
                  <c:v>Interest income – lending</c:v>
                </c:pt>
                <c:pt idx="2">
                  <c:v>Othee income on fin instr.</c:v>
                </c:pt>
                <c:pt idx="3">
                  <c:v>Interchange fees</c:v>
                </c:pt>
                <c:pt idx="4">
                  <c:v>Othe fee income</c:v>
                </c:pt>
              </c:strCache>
            </c:strRef>
          </c:cat>
          <c:val>
            <c:numRef>
              <c:f>Analysis!$F$5:$F$9</c:f>
              <c:numCache>
                <c:formatCode>0</c:formatCode>
                <c:ptCount val="5"/>
                <c:pt idx="0">
                  <c:v>245.2</c:v>
                </c:pt>
                <c:pt idx="1">
                  <c:v>161.19999999999999</c:v>
                </c:pt>
                <c:pt idx="2">
                  <c:v>200.80000000000007</c:v>
                </c:pt>
                <c:pt idx="3">
                  <c:v>321.5</c:v>
                </c:pt>
                <c:pt idx="4">
                  <c:v>133.39999999999998</c:v>
                </c:pt>
              </c:numCache>
            </c:numRef>
          </c:val>
          <c:extLst>
            <c:ext xmlns:c16="http://schemas.microsoft.com/office/drawing/2014/chart" uri="{C3380CC4-5D6E-409C-BE32-E72D297353CC}">
              <c16:uniqueId val="{00000000-7C0D-491F-99F9-DA574EB6418D}"/>
            </c:ext>
          </c:extLst>
        </c:ser>
        <c:dLbls>
          <c:showLegendKey val="0"/>
          <c:showVal val="0"/>
          <c:showCatName val="0"/>
          <c:showSerName val="0"/>
          <c:showPercent val="0"/>
          <c:showBubbleSize val="0"/>
          <c:showLeaderLines val="0"/>
        </c:dLbls>
        <c:firstSliceAng val="0"/>
      </c:pieChart>
      <c:spPr>
        <a:noFill/>
        <a:ln w="25400">
          <a:noFill/>
        </a:ln>
        <a:effectLst/>
      </c:spPr>
    </c:plotArea>
    <c:legend>
      <c:legendPos val="b"/>
      <c:layout>
        <c:manualLayout>
          <c:xMode val="edge"/>
          <c:yMode val="edge"/>
          <c:x val="3.2891346157332517E-3"/>
          <c:y val="0.81078170997686205"/>
          <c:w val="0.98906779177263493"/>
          <c:h val="0.18921829002313789"/>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dPt>
            <c:idx val="6"/>
            <c:invertIfNegative val="0"/>
            <c:bubble3D val="0"/>
            <c:extLst>
              <c:ext xmlns:c16="http://schemas.microsoft.com/office/drawing/2014/chart" uri="{C3380CC4-5D6E-409C-BE32-E72D297353CC}">
                <c16:uniqueId val="{00000001-E105-4E4A-B9EB-5D8F8744A88B}"/>
              </c:ext>
            </c:extLst>
          </c:dPt>
          <c:cat>
            <c:strRef>
              <c:f>Analysis!$B$491:$B$500</c:f>
              <c:strCache>
                <c:ptCount val="10"/>
                <c:pt idx="0">
                  <c:v>Credito (Pago)</c:v>
                </c:pt>
                <c:pt idx="1">
                  <c:v>Pagbank</c:v>
                </c:pt>
                <c:pt idx="2">
                  <c:v>Itau (small, individuals)</c:v>
                </c:pt>
                <c:pt idx="3">
                  <c:v>PAN</c:v>
                </c:pt>
                <c:pt idx="4">
                  <c:v>Nubank</c:v>
                </c:pt>
                <c:pt idx="5">
                  <c:v>Itau (Group)</c:v>
                </c:pt>
                <c:pt idx="6">
                  <c:v>Inter (Group)</c:v>
                </c:pt>
                <c:pt idx="7">
                  <c:v>Inter  (Payroll)</c:v>
                </c:pt>
                <c:pt idx="8">
                  <c:v>Inter  (Real estate)</c:v>
                </c:pt>
                <c:pt idx="9">
                  <c:v>Inter  (SME)</c:v>
                </c:pt>
              </c:strCache>
            </c:strRef>
          </c:cat>
          <c:val>
            <c:numRef>
              <c:f>Analysis!$C$491:$C$500</c:f>
              <c:numCache>
                <c:formatCode>0.0%</c:formatCode>
                <c:ptCount val="10"/>
                <c:pt idx="0">
                  <c:v>0.28999999999999998</c:v>
                </c:pt>
                <c:pt idx="1">
                  <c:v>0.09</c:v>
                </c:pt>
                <c:pt idx="2">
                  <c:v>8.3000000000000004E-2</c:v>
                </c:pt>
                <c:pt idx="3">
                  <c:v>5.8000000000000003E-2</c:v>
                </c:pt>
                <c:pt idx="4">
                  <c:v>5.5E-2</c:v>
                </c:pt>
                <c:pt idx="5">
                  <c:v>2.8000000000000001E-2</c:v>
                </c:pt>
                <c:pt idx="6">
                  <c:v>2.8000000000000001E-2</c:v>
                </c:pt>
                <c:pt idx="7">
                  <c:v>2.5999999999999999E-2</c:v>
                </c:pt>
                <c:pt idx="8">
                  <c:v>2.1999999999999999E-2</c:v>
                </c:pt>
                <c:pt idx="9">
                  <c:v>1E-3</c:v>
                </c:pt>
              </c:numCache>
            </c:numRef>
          </c:val>
          <c:extLst>
            <c:ext xmlns:c16="http://schemas.microsoft.com/office/drawing/2014/chart" uri="{C3380CC4-5D6E-409C-BE32-E72D297353CC}">
              <c16:uniqueId val="{00000000-75AB-4238-9CCD-0C95A5B04FBC}"/>
            </c:ext>
          </c:extLst>
        </c:ser>
        <c:dLbls>
          <c:showLegendKey val="0"/>
          <c:showVal val="0"/>
          <c:showCatName val="0"/>
          <c:showSerName val="0"/>
          <c:showPercent val="0"/>
          <c:showBubbleSize val="0"/>
        </c:dLbls>
        <c:gapWidth val="219"/>
        <c:overlap val="-27"/>
        <c:axId val="1897255743"/>
        <c:axId val="1897252415"/>
      </c:barChart>
      <c:catAx>
        <c:axId val="1897255743"/>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897252415"/>
        <c:crosses val="autoZero"/>
        <c:auto val="1"/>
        <c:lblAlgn val="ctr"/>
        <c:lblOffset val="100"/>
        <c:noMultiLvlLbl val="0"/>
      </c:catAx>
      <c:valAx>
        <c:axId val="1897252415"/>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897255743"/>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Analysis!$B$732:$B$737</c:f>
              <c:strCache>
                <c:ptCount val="6"/>
                <c:pt idx="0">
                  <c:v>Picpay*</c:v>
                </c:pt>
                <c:pt idx="1">
                  <c:v>Banco Pan*</c:v>
                </c:pt>
                <c:pt idx="2">
                  <c:v>Mercado pago</c:v>
                </c:pt>
                <c:pt idx="3">
                  <c:v>Pagbank</c:v>
                </c:pt>
                <c:pt idx="4">
                  <c:v>Nubank</c:v>
                </c:pt>
                <c:pt idx="5">
                  <c:v>Inter</c:v>
                </c:pt>
              </c:strCache>
            </c:strRef>
          </c:cat>
          <c:val>
            <c:numRef>
              <c:f>Analysis!$C$732:$C$737</c:f>
              <c:numCache>
                <c:formatCode>0%</c:formatCode>
                <c:ptCount val="6"/>
                <c:pt idx="0">
                  <c:v>1.05</c:v>
                </c:pt>
                <c:pt idx="1">
                  <c:v>1.03</c:v>
                </c:pt>
                <c:pt idx="2">
                  <c:v>1</c:v>
                </c:pt>
                <c:pt idx="3">
                  <c:v>1</c:v>
                </c:pt>
                <c:pt idx="4">
                  <c:v>1</c:v>
                </c:pt>
                <c:pt idx="5">
                  <c:v>0</c:v>
                </c:pt>
              </c:numCache>
            </c:numRef>
          </c:val>
          <c:extLst>
            <c:ext xmlns:c16="http://schemas.microsoft.com/office/drawing/2014/chart" uri="{C3380CC4-5D6E-409C-BE32-E72D297353CC}">
              <c16:uniqueId val="{00000000-71C4-4E9A-A1CB-140B2DE40BF3}"/>
            </c:ext>
          </c:extLst>
        </c:ser>
        <c:dLbls>
          <c:showLegendKey val="0"/>
          <c:showVal val="0"/>
          <c:showCatName val="0"/>
          <c:showSerName val="0"/>
          <c:showPercent val="0"/>
          <c:showBubbleSize val="0"/>
        </c:dLbls>
        <c:gapWidth val="30"/>
        <c:overlap val="-27"/>
        <c:axId val="38887120"/>
        <c:axId val="38882544"/>
      </c:barChart>
      <c:catAx>
        <c:axId val="3888712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38882544"/>
        <c:crosses val="autoZero"/>
        <c:auto val="1"/>
        <c:lblAlgn val="ctr"/>
        <c:lblOffset val="100"/>
        <c:noMultiLvlLbl val="0"/>
      </c:catAx>
      <c:valAx>
        <c:axId val="38882544"/>
        <c:scaling>
          <c:orientation val="minMax"/>
        </c:scaling>
        <c:delete val="1"/>
        <c:axPos val="l"/>
        <c:numFmt formatCode="0%" sourceLinked="1"/>
        <c:majorTickMark val="out"/>
        <c:minorTickMark val="none"/>
        <c:tickLblPos val="nextTo"/>
        <c:crossAx val="3888712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Analysis!$B$742:$B$747</c:f>
              <c:strCache>
                <c:ptCount val="6"/>
                <c:pt idx="0">
                  <c:v>Picpay</c:v>
                </c:pt>
                <c:pt idx="1">
                  <c:v>Mercado pago</c:v>
                </c:pt>
                <c:pt idx="2">
                  <c:v>Pagbank</c:v>
                </c:pt>
                <c:pt idx="3">
                  <c:v>Nubank</c:v>
                </c:pt>
                <c:pt idx="4">
                  <c:v>Banco Pan</c:v>
                </c:pt>
                <c:pt idx="5">
                  <c:v>Inter</c:v>
                </c:pt>
              </c:strCache>
            </c:strRef>
          </c:cat>
          <c:val>
            <c:numRef>
              <c:f>Analysis!$C$742:$C$747</c:f>
              <c:numCache>
                <c:formatCode>0</c:formatCode>
                <c:ptCount val="6"/>
                <c:pt idx="0">
                  <c:v>266.66666666666669</c:v>
                </c:pt>
                <c:pt idx="1">
                  <c:v>640.93201970443351</c:v>
                </c:pt>
                <c:pt idx="2">
                  <c:v>783.21678321678314</c:v>
                </c:pt>
                <c:pt idx="3">
                  <c:v>1419.4202150537635</c:v>
                </c:pt>
                <c:pt idx="4">
                  <c:v>1692.2448979591838</c:v>
                </c:pt>
                <c:pt idx="5">
                  <c:v>1906.969696969697</c:v>
                </c:pt>
              </c:numCache>
            </c:numRef>
          </c:val>
          <c:extLst>
            <c:ext xmlns:c16="http://schemas.microsoft.com/office/drawing/2014/chart" uri="{C3380CC4-5D6E-409C-BE32-E72D297353CC}">
              <c16:uniqueId val="{00000000-BC3C-45FB-BD77-FB9461707FF2}"/>
            </c:ext>
          </c:extLst>
        </c:ser>
        <c:dLbls>
          <c:showLegendKey val="0"/>
          <c:showVal val="0"/>
          <c:showCatName val="0"/>
          <c:showSerName val="0"/>
          <c:showPercent val="0"/>
          <c:showBubbleSize val="0"/>
        </c:dLbls>
        <c:gapWidth val="30"/>
        <c:overlap val="-27"/>
        <c:axId val="1150252623"/>
        <c:axId val="1150241807"/>
      </c:barChart>
      <c:catAx>
        <c:axId val="1150252623"/>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150241807"/>
        <c:crosses val="autoZero"/>
        <c:auto val="1"/>
        <c:lblAlgn val="ctr"/>
        <c:lblOffset val="100"/>
        <c:noMultiLvlLbl val="0"/>
      </c:catAx>
      <c:valAx>
        <c:axId val="1150241807"/>
        <c:scaling>
          <c:orientation val="minMax"/>
        </c:scaling>
        <c:delete val="1"/>
        <c:axPos val="l"/>
        <c:numFmt formatCode="0" sourceLinked="1"/>
        <c:majorTickMark val="out"/>
        <c:minorTickMark val="none"/>
        <c:tickLblPos val="nextTo"/>
        <c:crossAx val="1150252623"/>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v>Demand deposits</c:v>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Analysis!$B$750:$B$755</c:f>
              <c:strCache>
                <c:ptCount val="6"/>
                <c:pt idx="0">
                  <c:v>Picpay</c:v>
                </c:pt>
                <c:pt idx="1">
                  <c:v>Pagbank</c:v>
                </c:pt>
                <c:pt idx="2">
                  <c:v>Mercado pago</c:v>
                </c:pt>
                <c:pt idx="3">
                  <c:v>Inter</c:v>
                </c:pt>
                <c:pt idx="4">
                  <c:v>Banco Pan</c:v>
                </c:pt>
                <c:pt idx="5">
                  <c:v>Nubank</c:v>
                </c:pt>
              </c:strCache>
            </c:strRef>
          </c:cat>
          <c:val>
            <c:numRef>
              <c:f>Analysis!$C$750:$C$755</c:f>
              <c:numCache>
                <c:formatCode>#,##0</c:formatCode>
                <c:ptCount val="6"/>
                <c:pt idx="0">
                  <c:v>8000</c:v>
                </c:pt>
                <c:pt idx="1">
                  <c:v>5500</c:v>
                </c:pt>
                <c:pt idx="2">
                  <c:v>13010.92</c:v>
                </c:pt>
                <c:pt idx="3">
                  <c:v>10912</c:v>
                </c:pt>
                <c:pt idx="4">
                  <c:v>3655</c:v>
                </c:pt>
                <c:pt idx="5">
                  <c:v>66003.040000000008</c:v>
                </c:pt>
              </c:numCache>
            </c:numRef>
          </c:val>
          <c:extLst>
            <c:ext xmlns:c16="http://schemas.microsoft.com/office/drawing/2014/chart" uri="{C3380CC4-5D6E-409C-BE32-E72D297353CC}">
              <c16:uniqueId val="{00000000-9B64-466C-B016-631C269975D7}"/>
            </c:ext>
          </c:extLst>
        </c:ser>
        <c:ser>
          <c:idx val="1"/>
          <c:order val="1"/>
          <c:tx>
            <c:v>CDBs / other Time deposits</c:v>
          </c:tx>
          <c:spPr>
            <a:solidFill>
              <a:srgbClr val="F9663E"/>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Analysis!$B$750:$B$755</c:f>
              <c:strCache>
                <c:ptCount val="6"/>
                <c:pt idx="0">
                  <c:v>Picpay</c:v>
                </c:pt>
                <c:pt idx="1">
                  <c:v>Pagbank</c:v>
                </c:pt>
                <c:pt idx="2">
                  <c:v>Mercado pago</c:v>
                </c:pt>
                <c:pt idx="3">
                  <c:v>Inter</c:v>
                </c:pt>
                <c:pt idx="4">
                  <c:v>Banco Pan</c:v>
                </c:pt>
                <c:pt idx="5">
                  <c:v>Nubank</c:v>
                </c:pt>
              </c:strCache>
            </c:strRef>
          </c:cat>
          <c:val>
            <c:numRef>
              <c:f>Analysis!$D$750:$D$755</c:f>
              <c:numCache>
                <c:formatCode>#,##0</c:formatCode>
                <c:ptCount val="6"/>
                <c:pt idx="1">
                  <c:v>4400</c:v>
                </c:pt>
                <c:pt idx="3">
                  <c:v>7894</c:v>
                </c:pt>
                <c:pt idx="4">
                  <c:v>17884</c:v>
                </c:pt>
              </c:numCache>
            </c:numRef>
          </c:val>
          <c:extLst>
            <c:ext xmlns:c16="http://schemas.microsoft.com/office/drawing/2014/chart" uri="{C3380CC4-5D6E-409C-BE32-E72D297353CC}">
              <c16:uniqueId val="{00000000-0FF8-48DA-8109-E63A53B32103}"/>
            </c:ext>
          </c:extLst>
        </c:ser>
        <c:ser>
          <c:idx val="2"/>
          <c:order val="2"/>
          <c:tx>
            <c:v>Other</c:v>
          </c:tx>
          <c:spPr>
            <a:solidFill>
              <a:srgbClr val="C7FE02"/>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Analysis!$B$750:$B$755</c:f>
              <c:strCache>
                <c:ptCount val="6"/>
                <c:pt idx="0">
                  <c:v>Picpay</c:v>
                </c:pt>
                <c:pt idx="1">
                  <c:v>Pagbank</c:v>
                </c:pt>
                <c:pt idx="2">
                  <c:v>Mercado pago</c:v>
                </c:pt>
                <c:pt idx="3">
                  <c:v>Inter</c:v>
                </c:pt>
                <c:pt idx="4">
                  <c:v>Banco Pan</c:v>
                </c:pt>
                <c:pt idx="5">
                  <c:v>Nubank</c:v>
                </c:pt>
              </c:strCache>
            </c:strRef>
          </c:cat>
          <c:val>
            <c:numRef>
              <c:f>Analysis!$E$750:$E$755</c:f>
              <c:numCache>
                <c:formatCode>#,##0</c:formatCode>
                <c:ptCount val="6"/>
                <c:pt idx="1">
                  <c:v>1300</c:v>
                </c:pt>
                <c:pt idx="3">
                  <c:v>73</c:v>
                </c:pt>
                <c:pt idx="4">
                  <c:v>3337</c:v>
                </c:pt>
              </c:numCache>
            </c:numRef>
          </c:val>
          <c:extLst>
            <c:ext xmlns:c16="http://schemas.microsoft.com/office/drawing/2014/chart" uri="{C3380CC4-5D6E-409C-BE32-E72D297353CC}">
              <c16:uniqueId val="{00000001-0FF8-48DA-8109-E63A53B32103}"/>
            </c:ext>
          </c:extLst>
        </c:ser>
        <c:dLbls>
          <c:showLegendKey val="0"/>
          <c:showVal val="0"/>
          <c:showCatName val="0"/>
          <c:showSerName val="0"/>
          <c:showPercent val="0"/>
          <c:showBubbleSize val="0"/>
        </c:dLbls>
        <c:gapWidth val="30"/>
        <c:overlap val="100"/>
        <c:axId val="1150252623"/>
        <c:axId val="1150241807"/>
      </c:barChart>
      <c:catAx>
        <c:axId val="1150252623"/>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150241807"/>
        <c:crosses val="autoZero"/>
        <c:auto val="1"/>
        <c:lblAlgn val="ctr"/>
        <c:lblOffset val="100"/>
        <c:noMultiLvlLbl val="0"/>
      </c:catAx>
      <c:valAx>
        <c:axId val="1150241807"/>
        <c:scaling>
          <c:orientation val="minMax"/>
        </c:scaling>
        <c:delete val="1"/>
        <c:axPos val="l"/>
        <c:numFmt formatCode="#,##0" sourceLinked="1"/>
        <c:majorTickMark val="out"/>
        <c:minorTickMark val="none"/>
        <c:tickLblPos val="nextTo"/>
        <c:crossAx val="115025262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Analysis!$B$778:$B$782</c:f>
              <c:strCache>
                <c:ptCount val="5"/>
                <c:pt idx="0">
                  <c:v>Inter</c:v>
                </c:pt>
                <c:pt idx="1">
                  <c:v>Pagbank</c:v>
                </c:pt>
                <c:pt idx="2">
                  <c:v>Nubank</c:v>
                </c:pt>
                <c:pt idx="3">
                  <c:v>Mercado Pago</c:v>
                </c:pt>
                <c:pt idx="4">
                  <c:v>PicPay</c:v>
                </c:pt>
              </c:strCache>
            </c:strRef>
          </c:cat>
          <c:val>
            <c:numRef>
              <c:f>Analysis!$C$778:$C$782</c:f>
              <c:numCache>
                <c:formatCode>0%</c:formatCode>
                <c:ptCount val="5"/>
                <c:pt idx="0">
                  <c:v>0.53</c:v>
                </c:pt>
                <c:pt idx="1">
                  <c:v>0.95772168674698788</c:v>
                </c:pt>
                <c:pt idx="2">
                  <c:v>0.96</c:v>
                </c:pt>
                <c:pt idx="3">
                  <c:v>1</c:v>
                </c:pt>
                <c:pt idx="4">
                  <c:v>1.02</c:v>
                </c:pt>
              </c:numCache>
            </c:numRef>
          </c:val>
          <c:extLst>
            <c:ext xmlns:c16="http://schemas.microsoft.com/office/drawing/2014/chart" uri="{C3380CC4-5D6E-409C-BE32-E72D297353CC}">
              <c16:uniqueId val="{00000000-C195-4137-8D24-8F59E1DB6D48}"/>
            </c:ext>
          </c:extLst>
        </c:ser>
        <c:dLbls>
          <c:showLegendKey val="0"/>
          <c:showVal val="0"/>
          <c:showCatName val="0"/>
          <c:showSerName val="0"/>
          <c:showPercent val="0"/>
          <c:showBubbleSize val="0"/>
        </c:dLbls>
        <c:gapWidth val="30"/>
        <c:overlap val="-27"/>
        <c:axId val="1403765824"/>
        <c:axId val="1403766240"/>
      </c:barChart>
      <c:catAx>
        <c:axId val="140376582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03766240"/>
        <c:crosses val="autoZero"/>
        <c:auto val="1"/>
        <c:lblAlgn val="ctr"/>
        <c:lblOffset val="100"/>
        <c:noMultiLvlLbl val="0"/>
      </c:catAx>
      <c:valAx>
        <c:axId val="1403766240"/>
        <c:scaling>
          <c:orientation val="minMax"/>
        </c:scaling>
        <c:delete val="1"/>
        <c:axPos val="l"/>
        <c:numFmt formatCode="0%" sourceLinked="1"/>
        <c:majorTickMark val="out"/>
        <c:minorTickMark val="none"/>
        <c:tickLblPos val="nextTo"/>
        <c:crossAx val="140376582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7543861513368987E-2"/>
          <c:y val="3.6133704950943514E-2"/>
          <c:w val="0.97031038820814475"/>
          <c:h val="0.78670273967458038"/>
        </c:manualLayout>
      </c:layout>
      <c:barChart>
        <c:barDir val="col"/>
        <c:grouping val="clustered"/>
        <c:varyColors val="0"/>
        <c:ser>
          <c:idx val="0"/>
          <c:order val="0"/>
          <c:tx>
            <c:strRef>
              <c:f>Analysis!$K$800</c:f>
              <c:strCache>
                <c:ptCount val="1"/>
                <c:pt idx="0">
                  <c:v>5%</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Analysis!$B$801:$B$804</c:f>
              <c:strCache>
                <c:ptCount val="4"/>
                <c:pt idx="0">
                  <c:v>Mercado Libre</c:v>
                </c:pt>
                <c:pt idx="1">
                  <c:v>PagSeguro</c:v>
                </c:pt>
                <c:pt idx="2">
                  <c:v>Nubank</c:v>
                </c:pt>
                <c:pt idx="3">
                  <c:v>Picpay</c:v>
                </c:pt>
              </c:strCache>
            </c:strRef>
          </c:cat>
          <c:val>
            <c:numRef>
              <c:f>Analysis!$K$801:$K$804</c:f>
              <c:numCache>
                <c:formatCode>0.0%</c:formatCode>
                <c:ptCount val="4"/>
                <c:pt idx="0">
                  <c:v>0</c:v>
                </c:pt>
                <c:pt idx="1">
                  <c:v>3.6294267266679713E-3</c:v>
                </c:pt>
                <c:pt idx="2">
                  <c:v>1.3065582627426036E-2</c:v>
                </c:pt>
                <c:pt idx="3">
                  <c:v>2.3382352941176472E-2</c:v>
                </c:pt>
              </c:numCache>
            </c:numRef>
          </c:val>
          <c:extLst>
            <c:ext xmlns:c16="http://schemas.microsoft.com/office/drawing/2014/chart" uri="{C3380CC4-5D6E-409C-BE32-E72D297353CC}">
              <c16:uniqueId val="{00000000-92F3-4766-AE3D-E0FCD9ECDA4D}"/>
            </c:ext>
          </c:extLst>
        </c:ser>
        <c:ser>
          <c:idx val="1"/>
          <c:order val="1"/>
          <c:tx>
            <c:strRef>
              <c:f>Analysis!$L$800</c:f>
              <c:strCache>
                <c:ptCount val="1"/>
                <c:pt idx="0">
                  <c:v>10%</c:v>
                </c:pt>
              </c:strCache>
            </c:strRef>
          </c:tx>
          <c:spPr>
            <a:solidFill>
              <a:srgbClr val="F9663E"/>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Analysis!$B$801:$B$804</c:f>
              <c:strCache>
                <c:ptCount val="4"/>
                <c:pt idx="0">
                  <c:v>Mercado Libre</c:v>
                </c:pt>
                <c:pt idx="1">
                  <c:v>PagSeguro</c:v>
                </c:pt>
                <c:pt idx="2">
                  <c:v>Nubank</c:v>
                </c:pt>
                <c:pt idx="3">
                  <c:v>Picpay</c:v>
                </c:pt>
              </c:strCache>
            </c:strRef>
          </c:cat>
          <c:val>
            <c:numRef>
              <c:f>Analysis!$L$801:$L$804</c:f>
              <c:numCache>
                <c:formatCode>0.0%</c:formatCode>
                <c:ptCount val="4"/>
                <c:pt idx="0">
                  <c:v>0</c:v>
                </c:pt>
                <c:pt idx="1">
                  <c:v>7.2588534533359426E-3</c:v>
                </c:pt>
                <c:pt idx="2">
                  <c:v>2.6131165254852071E-2</c:v>
                </c:pt>
                <c:pt idx="3">
                  <c:v>4.6764705882352944E-2</c:v>
                </c:pt>
              </c:numCache>
            </c:numRef>
          </c:val>
          <c:extLst>
            <c:ext xmlns:c16="http://schemas.microsoft.com/office/drawing/2014/chart" uri="{C3380CC4-5D6E-409C-BE32-E72D297353CC}">
              <c16:uniqueId val="{00000001-92F3-4766-AE3D-E0FCD9ECDA4D}"/>
            </c:ext>
          </c:extLst>
        </c:ser>
        <c:ser>
          <c:idx val="2"/>
          <c:order val="2"/>
          <c:tx>
            <c:strRef>
              <c:f>Analysis!$M$800</c:f>
              <c:strCache>
                <c:ptCount val="1"/>
                <c:pt idx="0">
                  <c:v>20%</c:v>
                </c:pt>
              </c:strCache>
            </c:strRef>
          </c:tx>
          <c:spPr>
            <a:solidFill>
              <a:srgbClr val="C7FE02"/>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Analysis!$B$801:$B$804</c:f>
              <c:strCache>
                <c:ptCount val="4"/>
                <c:pt idx="0">
                  <c:v>Mercado Libre</c:v>
                </c:pt>
                <c:pt idx="1">
                  <c:v>PagSeguro</c:v>
                </c:pt>
                <c:pt idx="2">
                  <c:v>Nubank</c:v>
                </c:pt>
                <c:pt idx="3">
                  <c:v>Picpay</c:v>
                </c:pt>
              </c:strCache>
            </c:strRef>
          </c:cat>
          <c:val>
            <c:numRef>
              <c:f>Analysis!$M$801:$M$804</c:f>
              <c:numCache>
                <c:formatCode>0.0%</c:formatCode>
                <c:ptCount val="4"/>
                <c:pt idx="0">
                  <c:v>0</c:v>
                </c:pt>
                <c:pt idx="1">
                  <c:v>1.4517706906671885E-2</c:v>
                </c:pt>
                <c:pt idx="2">
                  <c:v>5.2262330509704143E-2</c:v>
                </c:pt>
                <c:pt idx="3">
                  <c:v>9.3529411764705889E-2</c:v>
                </c:pt>
              </c:numCache>
            </c:numRef>
          </c:val>
          <c:extLst>
            <c:ext xmlns:c16="http://schemas.microsoft.com/office/drawing/2014/chart" uri="{C3380CC4-5D6E-409C-BE32-E72D297353CC}">
              <c16:uniqueId val="{00000002-92F3-4766-AE3D-E0FCD9ECDA4D}"/>
            </c:ext>
          </c:extLst>
        </c:ser>
        <c:dLbls>
          <c:showLegendKey val="0"/>
          <c:showVal val="0"/>
          <c:showCatName val="0"/>
          <c:showSerName val="0"/>
          <c:showPercent val="0"/>
          <c:showBubbleSize val="0"/>
        </c:dLbls>
        <c:gapWidth val="30"/>
        <c:overlap val="-27"/>
        <c:axId val="1940598848"/>
        <c:axId val="1940588448"/>
      </c:barChart>
      <c:catAx>
        <c:axId val="194059884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940588448"/>
        <c:crosses val="autoZero"/>
        <c:auto val="1"/>
        <c:lblAlgn val="ctr"/>
        <c:lblOffset val="100"/>
        <c:noMultiLvlLbl val="0"/>
      </c:catAx>
      <c:valAx>
        <c:axId val="1940588448"/>
        <c:scaling>
          <c:orientation val="minMax"/>
        </c:scaling>
        <c:delete val="1"/>
        <c:axPos val="l"/>
        <c:numFmt formatCode="0.0%" sourceLinked="1"/>
        <c:majorTickMark val="out"/>
        <c:minorTickMark val="none"/>
        <c:tickLblPos val="nextTo"/>
        <c:crossAx val="194059884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Analysis!$B$842</c:f>
              <c:strCache>
                <c:ptCount val="1"/>
                <c:pt idx="0">
                  <c:v>Deposit yield as % CDI</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Analysis!$C$841:$L$841</c:f>
              <c:numCache>
                <c:formatCode>General</c:formatCode>
                <c:ptCount val="10"/>
                <c:pt idx="0">
                  <c:v>2021</c:v>
                </c:pt>
                <c:pt idx="1">
                  <c:v>2022</c:v>
                </c:pt>
                <c:pt idx="2">
                  <c:v>2023</c:v>
                </c:pt>
                <c:pt idx="3">
                  <c:v>2024</c:v>
                </c:pt>
                <c:pt idx="4">
                  <c:v>2025</c:v>
                </c:pt>
                <c:pt idx="5">
                  <c:v>2026</c:v>
                </c:pt>
                <c:pt idx="6">
                  <c:v>2027</c:v>
                </c:pt>
                <c:pt idx="7">
                  <c:v>2028</c:v>
                </c:pt>
                <c:pt idx="8">
                  <c:v>2029</c:v>
                </c:pt>
                <c:pt idx="9">
                  <c:v>2030</c:v>
                </c:pt>
              </c:numCache>
            </c:numRef>
          </c:cat>
          <c:val>
            <c:numRef>
              <c:f>Analysis!$C$842:$L$842</c:f>
              <c:numCache>
                <c:formatCode>0%</c:formatCode>
                <c:ptCount val="10"/>
                <c:pt idx="0">
                  <c:v>0.95684707704500005</c:v>
                </c:pt>
                <c:pt idx="1">
                  <c:v>0.87038144188514732</c:v>
                </c:pt>
                <c:pt idx="2">
                  <c:v>0.65534433806905668</c:v>
                </c:pt>
                <c:pt idx="3">
                  <c:v>0.8103443380690567</c:v>
                </c:pt>
                <c:pt idx="4">
                  <c:v>0.8103443380690567</c:v>
                </c:pt>
                <c:pt idx="5">
                  <c:v>0.8103443380690567</c:v>
                </c:pt>
                <c:pt idx="6">
                  <c:v>0.8103443380690567</c:v>
                </c:pt>
                <c:pt idx="7">
                  <c:v>0.8103443380690567</c:v>
                </c:pt>
                <c:pt idx="8">
                  <c:v>0.8103443380690567</c:v>
                </c:pt>
                <c:pt idx="9">
                  <c:v>0.8103443380690567</c:v>
                </c:pt>
              </c:numCache>
            </c:numRef>
          </c:val>
          <c:extLst>
            <c:ext xmlns:c16="http://schemas.microsoft.com/office/drawing/2014/chart" uri="{C3380CC4-5D6E-409C-BE32-E72D297353CC}">
              <c16:uniqueId val="{00000000-6D81-4F1F-97CA-4F9A4710A02E}"/>
            </c:ext>
          </c:extLst>
        </c:ser>
        <c:dLbls>
          <c:showLegendKey val="0"/>
          <c:showVal val="0"/>
          <c:showCatName val="0"/>
          <c:showSerName val="0"/>
          <c:showPercent val="0"/>
          <c:showBubbleSize val="0"/>
        </c:dLbls>
        <c:gapWidth val="30"/>
        <c:overlap val="-27"/>
        <c:axId val="1403623744"/>
        <c:axId val="1403620000"/>
      </c:barChart>
      <c:lineChart>
        <c:grouping val="standard"/>
        <c:varyColors val="0"/>
        <c:ser>
          <c:idx val="1"/>
          <c:order val="1"/>
          <c:tx>
            <c:strRef>
              <c:f>Analysis!$B$843</c:f>
              <c:strCache>
                <c:ptCount val="1"/>
                <c:pt idx="0">
                  <c:v>Deposit yield as  % revenue</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Analysis!$C$843:$L$843</c:f>
              <c:numCache>
                <c:formatCode>0%</c:formatCode>
                <c:ptCount val="10"/>
                <c:pt idx="0">
                  <c:v>0.18705256247131002</c:v>
                </c:pt>
                <c:pt idx="1">
                  <c:v>0.29393522694701296</c:v>
                </c:pt>
                <c:pt idx="2">
                  <c:v>0.21462381664175387</c:v>
                </c:pt>
                <c:pt idx="3">
                  <c:v>0.19396941397703826</c:v>
                </c:pt>
                <c:pt idx="4">
                  <c:v>0.18403188303982956</c:v>
                </c:pt>
                <c:pt idx="5">
                  <c:v>0.17728751223666389</c:v>
                </c:pt>
                <c:pt idx="6">
                  <c:v>0.17161059023422745</c:v>
                </c:pt>
                <c:pt idx="7">
                  <c:v>0.17858931028259525</c:v>
                </c:pt>
                <c:pt idx="8">
                  <c:v>0.18527935402308013</c:v>
                </c:pt>
                <c:pt idx="9">
                  <c:v>0.18767654334589029</c:v>
                </c:pt>
              </c:numCache>
            </c:numRef>
          </c:val>
          <c:smooth val="0"/>
          <c:extLst>
            <c:ext xmlns:c16="http://schemas.microsoft.com/office/drawing/2014/chart" uri="{C3380CC4-5D6E-409C-BE32-E72D297353CC}">
              <c16:uniqueId val="{00000001-6D81-4F1F-97CA-4F9A4710A02E}"/>
            </c:ext>
          </c:extLst>
        </c:ser>
        <c:dLbls>
          <c:showLegendKey val="0"/>
          <c:showVal val="0"/>
          <c:showCatName val="0"/>
          <c:showSerName val="0"/>
          <c:showPercent val="0"/>
          <c:showBubbleSize val="0"/>
        </c:dLbls>
        <c:marker val="1"/>
        <c:smooth val="0"/>
        <c:axId val="161140720"/>
        <c:axId val="161138640"/>
      </c:lineChart>
      <c:catAx>
        <c:axId val="1403623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03620000"/>
        <c:crosses val="autoZero"/>
        <c:auto val="1"/>
        <c:lblAlgn val="ctr"/>
        <c:lblOffset val="100"/>
        <c:noMultiLvlLbl val="0"/>
      </c:catAx>
      <c:valAx>
        <c:axId val="1403620000"/>
        <c:scaling>
          <c:orientation val="minMax"/>
        </c:scaling>
        <c:delete val="1"/>
        <c:axPos val="l"/>
        <c:numFmt formatCode="0%" sourceLinked="1"/>
        <c:majorTickMark val="out"/>
        <c:minorTickMark val="none"/>
        <c:tickLblPos val="nextTo"/>
        <c:crossAx val="1403623744"/>
        <c:crosses val="autoZero"/>
        <c:crossBetween val="between"/>
      </c:valAx>
      <c:valAx>
        <c:axId val="161138640"/>
        <c:scaling>
          <c:orientation val="minMax"/>
        </c:scaling>
        <c:delete val="1"/>
        <c:axPos val="r"/>
        <c:numFmt formatCode="0%" sourceLinked="1"/>
        <c:majorTickMark val="out"/>
        <c:minorTickMark val="none"/>
        <c:tickLblPos val="nextTo"/>
        <c:crossAx val="161140720"/>
        <c:crosses val="max"/>
        <c:crossBetween val="between"/>
      </c:valAx>
      <c:catAx>
        <c:axId val="161140720"/>
        <c:scaling>
          <c:orientation val="minMax"/>
        </c:scaling>
        <c:delete val="1"/>
        <c:axPos val="b"/>
        <c:majorTickMark val="out"/>
        <c:minorTickMark val="none"/>
        <c:tickLblPos val="nextTo"/>
        <c:crossAx val="161138640"/>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Analysis!$B$868</c:f>
              <c:strCache>
                <c:ptCount val="1"/>
                <c:pt idx="0">
                  <c:v>Gross profit</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Analysis!$C$841:$L$841</c:f>
              <c:numCache>
                <c:formatCode>General</c:formatCode>
                <c:ptCount val="10"/>
                <c:pt idx="0">
                  <c:v>2021</c:v>
                </c:pt>
                <c:pt idx="1">
                  <c:v>2022</c:v>
                </c:pt>
                <c:pt idx="2">
                  <c:v>2023</c:v>
                </c:pt>
                <c:pt idx="3">
                  <c:v>2024</c:v>
                </c:pt>
                <c:pt idx="4">
                  <c:v>2025</c:v>
                </c:pt>
                <c:pt idx="5">
                  <c:v>2026</c:v>
                </c:pt>
                <c:pt idx="6">
                  <c:v>2027</c:v>
                </c:pt>
                <c:pt idx="7">
                  <c:v>2028</c:v>
                </c:pt>
                <c:pt idx="8">
                  <c:v>2029</c:v>
                </c:pt>
                <c:pt idx="9">
                  <c:v>2030</c:v>
                </c:pt>
              </c:numCache>
            </c:numRef>
          </c:cat>
          <c:val>
            <c:numRef>
              <c:f>Analysis!$C$868:$L$868</c:f>
              <c:numCache>
                <c:formatCode>0%</c:formatCode>
                <c:ptCount val="10"/>
                <c:pt idx="0">
                  <c:v>0.43127228795779687</c:v>
                </c:pt>
                <c:pt idx="1">
                  <c:v>0.34720493276753589</c:v>
                </c:pt>
                <c:pt idx="2">
                  <c:v>0.4349775784753363</c:v>
                </c:pt>
                <c:pt idx="3">
                  <c:v>0.45550082387519197</c:v>
                </c:pt>
                <c:pt idx="4">
                  <c:v>0.47339720261768686</c:v>
                </c:pt>
                <c:pt idx="5">
                  <c:v>0.48682155729246507</c:v>
                </c:pt>
                <c:pt idx="6">
                  <c:v>0.51467630716853041</c:v>
                </c:pt>
                <c:pt idx="7">
                  <c:v>0.52665687355728108</c:v>
                </c:pt>
                <c:pt idx="8">
                  <c:v>0.52910998102865514</c:v>
                </c:pt>
                <c:pt idx="9">
                  <c:v>0.54370658570703545</c:v>
                </c:pt>
              </c:numCache>
            </c:numRef>
          </c:val>
          <c:extLst>
            <c:ext xmlns:c16="http://schemas.microsoft.com/office/drawing/2014/chart" uri="{C3380CC4-5D6E-409C-BE32-E72D297353CC}">
              <c16:uniqueId val="{00000000-6965-4E96-9B81-EBE3B0ADBA87}"/>
            </c:ext>
          </c:extLst>
        </c:ser>
        <c:dLbls>
          <c:showLegendKey val="0"/>
          <c:showVal val="0"/>
          <c:showCatName val="0"/>
          <c:showSerName val="0"/>
          <c:showPercent val="0"/>
          <c:showBubbleSize val="0"/>
        </c:dLbls>
        <c:gapWidth val="30"/>
        <c:overlap val="-27"/>
        <c:axId val="1403623744"/>
        <c:axId val="1403620000"/>
      </c:barChart>
      <c:lineChart>
        <c:grouping val="standard"/>
        <c:varyColors val="0"/>
        <c:ser>
          <c:idx val="1"/>
          <c:order val="1"/>
          <c:tx>
            <c:strRef>
              <c:f>Analysis!$B$864</c:f>
              <c:strCache>
                <c:ptCount val="1"/>
                <c:pt idx="0">
                  <c:v>Provision as % revenue</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Analysis!$C$864:$L$864</c:f>
              <c:numCache>
                <c:formatCode>0%</c:formatCode>
                <c:ptCount val="10"/>
                <c:pt idx="0">
                  <c:v>0.28323831133481775</c:v>
                </c:pt>
                <c:pt idx="1">
                  <c:v>0.2933089445032338</c:v>
                </c:pt>
                <c:pt idx="2">
                  <c:v>0.28462879920279022</c:v>
                </c:pt>
                <c:pt idx="3">
                  <c:v>0.28414972239489938</c:v>
                </c:pt>
                <c:pt idx="4">
                  <c:v>0.27660175521304053</c:v>
                </c:pt>
                <c:pt idx="5">
                  <c:v>0.27542793947198668</c:v>
                </c:pt>
                <c:pt idx="6">
                  <c:v>0.25575581647859952</c:v>
                </c:pt>
                <c:pt idx="7">
                  <c:v>0.23921211532036196</c:v>
                </c:pt>
                <c:pt idx="8">
                  <c:v>0.23191138056796837</c:v>
                </c:pt>
                <c:pt idx="9">
                  <c:v>0.21734277893411061</c:v>
                </c:pt>
              </c:numCache>
            </c:numRef>
          </c:val>
          <c:smooth val="0"/>
          <c:extLst>
            <c:ext xmlns:c16="http://schemas.microsoft.com/office/drawing/2014/chart" uri="{C3380CC4-5D6E-409C-BE32-E72D297353CC}">
              <c16:uniqueId val="{00000001-6965-4E96-9B81-EBE3B0ADBA87}"/>
            </c:ext>
          </c:extLst>
        </c:ser>
        <c:dLbls>
          <c:showLegendKey val="0"/>
          <c:showVal val="0"/>
          <c:showCatName val="0"/>
          <c:showSerName val="0"/>
          <c:showPercent val="0"/>
          <c:showBubbleSize val="0"/>
        </c:dLbls>
        <c:marker val="1"/>
        <c:smooth val="0"/>
        <c:axId val="161140720"/>
        <c:axId val="161138640"/>
      </c:lineChart>
      <c:catAx>
        <c:axId val="1403623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03620000"/>
        <c:crosses val="autoZero"/>
        <c:auto val="1"/>
        <c:lblAlgn val="ctr"/>
        <c:lblOffset val="100"/>
        <c:noMultiLvlLbl val="0"/>
      </c:catAx>
      <c:valAx>
        <c:axId val="1403620000"/>
        <c:scaling>
          <c:orientation val="minMax"/>
        </c:scaling>
        <c:delete val="1"/>
        <c:axPos val="l"/>
        <c:numFmt formatCode="0%" sourceLinked="1"/>
        <c:majorTickMark val="out"/>
        <c:minorTickMark val="none"/>
        <c:tickLblPos val="nextTo"/>
        <c:crossAx val="1403623744"/>
        <c:crosses val="autoZero"/>
        <c:crossBetween val="between"/>
      </c:valAx>
      <c:valAx>
        <c:axId val="161138640"/>
        <c:scaling>
          <c:orientation val="minMax"/>
        </c:scaling>
        <c:delete val="1"/>
        <c:axPos val="r"/>
        <c:numFmt formatCode="0%" sourceLinked="1"/>
        <c:majorTickMark val="out"/>
        <c:minorTickMark val="none"/>
        <c:tickLblPos val="nextTo"/>
        <c:crossAx val="161140720"/>
        <c:crosses val="max"/>
        <c:crossBetween val="between"/>
      </c:valAx>
      <c:catAx>
        <c:axId val="161140720"/>
        <c:scaling>
          <c:orientation val="minMax"/>
        </c:scaling>
        <c:delete val="1"/>
        <c:axPos val="b"/>
        <c:majorTickMark val="out"/>
        <c:minorTickMark val="none"/>
        <c:tickLblPos val="nextTo"/>
        <c:crossAx val="161138640"/>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Analysis!$B$949</c:f>
              <c:strCache>
                <c:ptCount val="1"/>
                <c:pt idx="0">
                  <c:v>Credit cards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Analysis!$C$948:$N$948</c:f>
              <c:strCache>
                <c:ptCount val="12"/>
                <c:pt idx="0">
                  <c:v>Q1 22</c:v>
                </c:pt>
                <c:pt idx="1">
                  <c:v>Q2 22</c:v>
                </c:pt>
                <c:pt idx="2">
                  <c:v>Q3 22</c:v>
                </c:pt>
                <c:pt idx="3">
                  <c:v>Q4 22</c:v>
                </c:pt>
                <c:pt idx="4">
                  <c:v>Q1 23</c:v>
                </c:pt>
                <c:pt idx="5">
                  <c:v>Q2 23</c:v>
                </c:pt>
                <c:pt idx="6">
                  <c:v>#REF!</c:v>
                </c:pt>
                <c:pt idx="7">
                  <c:v>#REF!</c:v>
                </c:pt>
                <c:pt idx="8">
                  <c:v>Q1 24</c:v>
                </c:pt>
                <c:pt idx="9">
                  <c:v>#REF!</c:v>
                </c:pt>
                <c:pt idx="10">
                  <c:v>Q3 24E</c:v>
                </c:pt>
                <c:pt idx="11">
                  <c:v>Q4 24E</c:v>
                </c:pt>
              </c:strCache>
            </c:strRef>
          </c:cat>
          <c:val>
            <c:numRef>
              <c:f>Analysis!$C$949:$N$949</c:f>
              <c:numCache>
                <c:formatCode>#,##0</c:formatCode>
                <c:ptCount val="12"/>
                <c:pt idx="0">
                  <c:v>6814.4089999999997</c:v>
                </c:pt>
                <c:pt idx="1">
                  <c:v>7175.817</c:v>
                </c:pt>
                <c:pt idx="2">
                  <c:v>7812.2719999999999</c:v>
                </c:pt>
                <c:pt idx="3">
                  <c:v>9284</c:v>
                </c:pt>
                <c:pt idx="4">
                  <c:v>10474</c:v>
                </c:pt>
                <c:pt idx="5">
                  <c:v>12062</c:v>
                </c:pt>
                <c:pt idx="6">
                  <c:v>0</c:v>
                </c:pt>
                <c:pt idx="7">
                  <c:v>0</c:v>
                </c:pt>
                <c:pt idx="8">
                  <c:v>15093.7</c:v>
                </c:pt>
                <c:pt idx="9">
                  <c:v>0</c:v>
                </c:pt>
                <c:pt idx="10">
                  <c:v>15417.950216450216</c:v>
                </c:pt>
                <c:pt idx="11">
                  <c:v>16254.035549960725</c:v>
                </c:pt>
              </c:numCache>
            </c:numRef>
          </c:val>
          <c:extLst>
            <c:ext xmlns:c16="http://schemas.microsoft.com/office/drawing/2014/chart" uri="{C3380CC4-5D6E-409C-BE32-E72D297353CC}">
              <c16:uniqueId val="{00000000-50B8-45CC-B957-7C641F2EEE74}"/>
            </c:ext>
          </c:extLst>
        </c:ser>
        <c:ser>
          <c:idx val="1"/>
          <c:order val="1"/>
          <c:tx>
            <c:strRef>
              <c:f>Analysis!$B$950</c:f>
              <c:strCache>
                <c:ptCount val="1"/>
                <c:pt idx="0">
                  <c:v>Personal loans</c:v>
                </c:pt>
              </c:strCache>
            </c:strRef>
          </c:tx>
          <c:spPr>
            <a:solidFill>
              <a:srgbClr val="F9663E"/>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Analysis!$C$948:$N$948</c:f>
              <c:strCache>
                <c:ptCount val="12"/>
                <c:pt idx="0">
                  <c:v>Q1 22</c:v>
                </c:pt>
                <c:pt idx="1">
                  <c:v>Q2 22</c:v>
                </c:pt>
                <c:pt idx="2">
                  <c:v>Q3 22</c:v>
                </c:pt>
                <c:pt idx="3">
                  <c:v>Q4 22</c:v>
                </c:pt>
                <c:pt idx="4">
                  <c:v>Q1 23</c:v>
                </c:pt>
                <c:pt idx="5">
                  <c:v>Q2 23</c:v>
                </c:pt>
                <c:pt idx="6">
                  <c:v>#REF!</c:v>
                </c:pt>
                <c:pt idx="7">
                  <c:v>#REF!</c:v>
                </c:pt>
                <c:pt idx="8">
                  <c:v>Q1 24</c:v>
                </c:pt>
                <c:pt idx="9">
                  <c:v>#REF!</c:v>
                </c:pt>
                <c:pt idx="10">
                  <c:v>Q3 24E</c:v>
                </c:pt>
                <c:pt idx="11">
                  <c:v>Q4 24E</c:v>
                </c:pt>
              </c:strCache>
            </c:strRef>
          </c:cat>
          <c:val>
            <c:numRef>
              <c:f>Analysis!$C$950:$N$950</c:f>
              <c:numCache>
                <c:formatCode>#,##0</c:formatCode>
                <c:ptCount val="12"/>
                <c:pt idx="0">
                  <c:v>2007.5</c:v>
                </c:pt>
                <c:pt idx="1">
                  <c:v>1946.0530000000001</c:v>
                </c:pt>
                <c:pt idx="2">
                  <c:v>1904.7350000000001</c:v>
                </c:pt>
                <c:pt idx="3">
                  <c:v>1973</c:v>
                </c:pt>
                <c:pt idx="4">
                  <c:v>2336</c:v>
                </c:pt>
                <c:pt idx="5">
                  <c:v>2792</c:v>
                </c:pt>
                <c:pt idx="6">
                  <c:v>0</c:v>
                </c:pt>
                <c:pt idx="7">
                  <c:v>0</c:v>
                </c:pt>
                <c:pt idx="8">
                  <c:v>4479</c:v>
                </c:pt>
                <c:pt idx="9">
                  <c:v>0</c:v>
                </c:pt>
                <c:pt idx="10">
                  <c:v>5370.9767441860467</c:v>
                </c:pt>
                <c:pt idx="11">
                  <c:v>6018.3477121320338</c:v>
                </c:pt>
              </c:numCache>
            </c:numRef>
          </c:val>
          <c:extLst>
            <c:ext xmlns:c16="http://schemas.microsoft.com/office/drawing/2014/chart" uri="{C3380CC4-5D6E-409C-BE32-E72D297353CC}">
              <c16:uniqueId val="{00000001-50B8-45CC-B957-7C641F2EEE74}"/>
            </c:ext>
          </c:extLst>
        </c:ser>
        <c:ser>
          <c:idx val="2"/>
          <c:order val="2"/>
          <c:tx>
            <c:strRef>
              <c:f>Analysis!$B$951</c:f>
              <c:strCache>
                <c:ptCount val="1"/>
                <c:pt idx="0">
                  <c:v>Payroll</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Analysis!$C$948:$N$948</c:f>
              <c:strCache>
                <c:ptCount val="12"/>
                <c:pt idx="0">
                  <c:v>Q1 22</c:v>
                </c:pt>
                <c:pt idx="1">
                  <c:v>Q2 22</c:v>
                </c:pt>
                <c:pt idx="2">
                  <c:v>Q3 22</c:v>
                </c:pt>
                <c:pt idx="3">
                  <c:v>Q4 22</c:v>
                </c:pt>
                <c:pt idx="4">
                  <c:v>Q1 23</c:v>
                </c:pt>
                <c:pt idx="5">
                  <c:v>Q2 23</c:v>
                </c:pt>
                <c:pt idx="6">
                  <c:v>#REF!</c:v>
                </c:pt>
                <c:pt idx="7">
                  <c:v>#REF!</c:v>
                </c:pt>
                <c:pt idx="8">
                  <c:v>Q1 24</c:v>
                </c:pt>
                <c:pt idx="9">
                  <c:v>#REF!</c:v>
                </c:pt>
                <c:pt idx="10">
                  <c:v>Q3 24E</c:v>
                </c:pt>
                <c:pt idx="11">
                  <c:v>Q4 24E</c:v>
                </c:pt>
              </c:strCache>
            </c:strRef>
          </c:cat>
          <c:val>
            <c:numRef>
              <c:f>Analysis!$C$951:$N$951</c:f>
              <c:numCache>
                <c:formatCode>#,##0</c:formatCode>
                <c:ptCount val="12"/>
                <c:pt idx="6">
                  <c:v>0</c:v>
                </c:pt>
                <c:pt idx="7">
                  <c:v>0</c:v>
                </c:pt>
                <c:pt idx="8">
                  <c:v>0</c:v>
                </c:pt>
                <c:pt idx="9">
                  <c:v>0</c:v>
                </c:pt>
                <c:pt idx="10">
                  <c:v>63.636363636363633</c:v>
                </c:pt>
                <c:pt idx="11">
                  <c:v>160.2355503920999</c:v>
                </c:pt>
              </c:numCache>
            </c:numRef>
          </c:val>
          <c:extLst>
            <c:ext xmlns:c16="http://schemas.microsoft.com/office/drawing/2014/chart" uri="{C3380CC4-5D6E-409C-BE32-E72D297353CC}">
              <c16:uniqueId val="{00000002-50B8-45CC-B957-7C641F2EEE74}"/>
            </c:ext>
          </c:extLst>
        </c:ser>
        <c:dLbls>
          <c:showLegendKey val="0"/>
          <c:showVal val="0"/>
          <c:showCatName val="0"/>
          <c:showSerName val="0"/>
          <c:showPercent val="0"/>
          <c:showBubbleSize val="0"/>
        </c:dLbls>
        <c:gapWidth val="30"/>
        <c:overlap val="100"/>
        <c:axId val="551200879"/>
        <c:axId val="551201359"/>
      </c:barChart>
      <c:catAx>
        <c:axId val="55120087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551201359"/>
        <c:crosses val="autoZero"/>
        <c:auto val="1"/>
        <c:lblAlgn val="ctr"/>
        <c:lblOffset val="100"/>
        <c:noMultiLvlLbl val="0"/>
      </c:catAx>
      <c:valAx>
        <c:axId val="551201359"/>
        <c:scaling>
          <c:orientation val="minMax"/>
        </c:scaling>
        <c:delete val="1"/>
        <c:axPos val="l"/>
        <c:numFmt formatCode="#,##0" sourceLinked="1"/>
        <c:majorTickMark val="out"/>
        <c:minorTickMark val="none"/>
        <c:tickLblPos val="nextTo"/>
        <c:crossAx val="551200879"/>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111111111111109E-2"/>
          <c:y val="0.14351851851851852"/>
          <c:w val="0.93888888888888888"/>
          <c:h val="0.7891972878390201"/>
        </c:manualLayout>
      </c:layout>
      <c:barChart>
        <c:barDir val="col"/>
        <c:grouping val="clustered"/>
        <c:varyColors val="0"/>
        <c:ser>
          <c:idx val="0"/>
          <c:order val="0"/>
          <c:tx>
            <c:strRef>
              <c:f>Analysis!$B$956</c:f>
              <c:strCache>
                <c:ptCount val="1"/>
                <c:pt idx="0">
                  <c:v>Net income</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Analysis!$C$955:$N$955</c:f>
              <c:strCache>
                <c:ptCount val="12"/>
                <c:pt idx="0">
                  <c:v>Q1 22</c:v>
                </c:pt>
                <c:pt idx="1">
                  <c:v>Q2 22</c:v>
                </c:pt>
                <c:pt idx="2">
                  <c:v>Q3 22</c:v>
                </c:pt>
                <c:pt idx="3">
                  <c:v>Q4 22</c:v>
                </c:pt>
                <c:pt idx="4">
                  <c:v>Q1 23</c:v>
                </c:pt>
                <c:pt idx="6">
                  <c:v>#REF!</c:v>
                </c:pt>
                <c:pt idx="7">
                  <c:v>#REF!</c:v>
                </c:pt>
                <c:pt idx="8">
                  <c:v>Q1 24</c:v>
                </c:pt>
                <c:pt idx="9">
                  <c:v>#REF!</c:v>
                </c:pt>
                <c:pt idx="10">
                  <c:v>Q3 24E</c:v>
                </c:pt>
                <c:pt idx="11">
                  <c:v>Q4 24E</c:v>
                </c:pt>
              </c:strCache>
            </c:strRef>
          </c:cat>
          <c:val>
            <c:numRef>
              <c:f>Analysis!$C$956:$N$956</c:f>
              <c:numCache>
                <c:formatCode>0</c:formatCode>
                <c:ptCount val="12"/>
                <c:pt idx="0">
                  <c:v>-45.003999999999976</c:v>
                </c:pt>
                <c:pt idx="1">
                  <c:v>-29.849999999999852</c:v>
                </c:pt>
                <c:pt idx="2">
                  <c:v>7.8260000000000787</c:v>
                </c:pt>
                <c:pt idx="3">
                  <c:v>-296.87200000000013</c:v>
                </c:pt>
                <c:pt idx="4">
                  <c:v>143.33299999999997</c:v>
                </c:pt>
                <c:pt idx="6">
                  <c:v>0</c:v>
                </c:pt>
                <c:pt idx="7">
                  <c:v>0</c:v>
                </c:pt>
                <c:pt idx="8">
                  <c:v>379.1</c:v>
                </c:pt>
                <c:pt idx="9">
                  <c:v>0</c:v>
                </c:pt>
                <c:pt idx="10">
                  <c:v>543.98850959894253</c:v>
                </c:pt>
                <c:pt idx="11">
                  <c:v>529.23104583525446</c:v>
                </c:pt>
              </c:numCache>
            </c:numRef>
          </c:val>
          <c:extLst>
            <c:ext xmlns:c16="http://schemas.microsoft.com/office/drawing/2014/chart" uri="{C3380CC4-5D6E-409C-BE32-E72D297353CC}">
              <c16:uniqueId val="{00000000-CF72-42B3-914A-4B689FD89922}"/>
            </c:ext>
          </c:extLst>
        </c:ser>
        <c:dLbls>
          <c:showLegendKey val="0"/>
          <c:showVal val="0"/>
          <c:showCatName val="0"/>
          <c:showSerName val="0"/>
          <c:showPercent val="0"/>
          <c:showBubbleSize val="0"/>
        </c:dLbls>
        <c:gapWidth val="30"/>
        <c:overlap val="-27"/>
        <c:axId val="684547936"/>
        <c:axId val="684535936"/>
      </c:barChart>
      <c:catAx>
        <c:axId val="684547936"/>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684535936"/>
        <c:crosses val="autoZero"/>
        <c:auto val="1"/>
        <c:lblAlgn val="ctr"/>
        <c:lblOffset val="100"/>
        <c:noMultiLvlLbl val="0"/>
      </c:catAx>
      <c:valAx>
        <c:axId val="684535936"/>
        <c:scaling>
          <c:orientation val="minMax"/>
        </c:scaling>
        <c:delete val="1"/>
        <c:axPos val="l"/>
        <c:numFmt formatCode="0" sourceLinked="1"/>
        <c:majorTickMark val="out"/>
        <c:minorTickMark val="none"/>
        <c:tickLblPos val="nextTo"/>
        <c:crossAx val="68454793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pattFill prst="wdDnDiag">
                <a:fgClr>
                  <a:srgbClr val="000080"/>
                </a:fgClr>
                <a:bgClr>
                  <a:srgbClr val="000080"/>
                </a:bgClr>
              </a:pattFill>
              <a:ln w="25400">
                <a:noFill/>
              </a:ln>
              <a:effectLst/>
            </c:spPr>
            <c:extLst>
              <c:ext xmlns:c16="http://schemas.microsoft.com/office/drawing/2014/chart" uri="{C3380CC4-5D6E-409C-BE32-E72D297353CC}">
                <c16:uniqueId val="{00000001-E2FE-44C5-BB6A-ADF69320E52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2FE-44C5-BB6A-ADF69320E52D}"/>
              </c:ext>
            </c:extLst>
          </c:dPt>
          <c:dPt>
            <c:idx val="2"/>
            <c:bubble3D val="0"/>
            <c:spPr>
              <a:pattFill prst="wdDnDiag">
                <a:fgClr>
                  <a:srgbClr val="9999FF"/>
                </a:fgClr>
                <a:bgClr>
                  <a:srgbClr val="9999FF"/>
                </a:bgClr>
              </a:pattFill>
              <a:ln w="25400">
                <a:noFill/>
              </a:ln>
              <a:effectLst/>
            </c:spPr>
            <c:extLst>
              <c:ext xmlns:c16="http://schemas.microsoft.com/office/drawing/2014/chart" uri="{C3380CC4-5D6E-409C-BE32-E72D297353CC}">
                <c16:uniqueId val="{00000005-E2FE-44C5-BB6A-ADF69320E52D}"/>
              </c:ext>
            </c:extLst>
          </c:dPt>
          <c:dPt>
            <c:idx val="3"/>
            <c:bubble3D val="0"/>
            <c:spPr>
              <a:pattFill prst="wdDnDiag">
                <a:fgClr>
                  <a:srgbClr val="3366FF"/>
                </a:fgClr>
                <a:bgClr>
                  <a:srgbClr val="3366FF"/>
                </a:bgClr>
              </a:pattFill>
              <a:ln w="25400">
                <a:noFill/>
              </a:ln>
              <a:effectLst/>
            </c:spPr>
            <c:extLst>
              <c:ext xmlns:c16="http://schemas.microsoft.com/office/drawing/2014/chart" uri="{C3380CC4-5D6E-409C-BE32-E72D297353CC}">
                <c16:uniqueId val="{00000007-E2FE-44C5-BB6A-ADF69320E52D}"/>
              </c:ext>
            </c:extLst>
          </c:dPt>
          <c:dPt>
            <c:idx val="4"/>
            <c:bubble3D val="0"/>
            <c:spPr>
              <a:pattFill prst="wdDnDiag">
                <a:fgClr>
                  <a:srgbClr val="CCCCFF"/>
                </a:fgClr>
                <a:bgClr>
                  <a:srgbClr val="CCCCFF"/>
                </a:bgClr>
              </a:pattFill>
              <a:ln w="25400">
                <a:noFill/>
              </a:ln>
              <a:effectLst/>
            </c:spPr>
            <c:extLst>
              <c:ext xmlns:c16="http://schemas.microsoft.com/office/drawing/2014/chart" uri="{C3380CC4-5D6E-409C-BE32-E72D297353CC}">
                <c16:uniqueId val="{00000009-A682-4E3B-AF45-BFC69FC05C90}"/>
              </c:ext>
            </c:extLst>
          </c:dPt>
          <c:dLbls>
            <c:spPr>
              <a:noFill/>
              <a:ln>
                <a:noFill/>
              </a:ln>
              <a:effectLst/>
            </c:spPr>
            <c:txPr>
              <a:bodyPr rot="0" spcFirstLastPara="1" vertOverflow="ellipsis" vert="horz" wrap="square" anchor="ctr" anchorCtr="1"/>
              <a:lstStyle/>
              <a:p>
                <a:pPr>
                  <a:defRPr lang="en-US"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0"/>
            <c:showCatName val="0"/>
            <c:showSerName val="0"/>
            <c:showPercent val="1"/>
            <c:showBubbleSize val="0"/>
            <c:showLeaderLines val="0"/>
            <c:extLst>
              <c:ext xmlns:c15="http://schemas.microsoft.com/office/drawing/2012/chart" uri="{CE6537A1-D6FC-4f65-9D91-7224C49458BB}"/>
            </c:extLst>
          </c:dLbls>
          <c:cat>
            <c:strRef>
              <c:f>Analysis!$B$5:$B$9</c:f>
              <c:strCache>
                <c:ptCount val="5"/>
                <c:pt idx="0">
                  <c:v>Interest income – credit card</c:v>
                </c:pt>
                <c:pt idx="1">
                  <c:v>Interest income – lending</c:v>
                </c:pt>
                <c:pt idx="2">
                  <c:v>Othee income on fin instr.</c:v>
                </c:pt>
                <c:pt idx="3">
                  <c:v>Interchange fees</c:v>
                </c:pt>
                <c:pt idx="4">
                  <c:v>Othe fee income</c:v>
                </c:pt>
              </c:strCache>
            </c:strRef>
          </c:cat>
          <c:val>
            <c:numRef>
              <c:f>Analysis!$F$5:$F$9</c:f>
              <c:numCache>
                <c:formatCode>0</c:formatCode>
                <c:ptCount val="5"/>
                <c:pt idx="0">
                  <c:v>245.2</c:v>
                </c:pt>
                <c:pt idx="1">
                  <c:v>161.19999999999999</c:v>
                </c:pt>
                <c:pt idx="2">
                  <c:v>200.80000000000007</c:v>
                </c:pt>
                <c:pt idx="3">
                  <c:v>321.5</c:v>
                </c:pt>
                <c:pt idx="4">
                  <c:v>133.39999999999998</c:v>
                </c:pt>
              </c:numCache>
            </c:numRef>
          </c:val>
          <c:extLst>
            <c:ext xmlns:c16="http://schemas.microsoft.com/office/drawing/2014/chart" uri="{C3380CC4-5D6E-409C-BE32-E72D297353CC}">
              <c16:uniqueId val="{00000008-E2FE-44C5-BB6A-ADF69320E52D}"/>
            </c:ext>
          </c:extLst>
        </c:ser>
        <c:dLbls>
          <c:dLblPos val="outEnd"/>
          <c:showLegendKey val="0"/>
          <c:showVal val="1"/>
          <c:showCatName val="0"/>
          <c:showSerName val="0"/>
          <c:showPercent val="0"/>
          <c:showBubbleSize val="0"/>
          <c:showLeaderLines val="0"/>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lang="en-US"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lang="en-US" sz="1000" b="0" i="0" u="none" strike="noStrike" kern="1200" baseline="0">
          <a:latin typeface="Trebuchet MS"/>
          <a:ea typeface="Trebuchet MS"/>
          <a:cs typeface="Trebuchet MS"/>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111111111111109E-2"/>
          <c:y val="0.14351851851851852"/>
          <c:w val="0.93888888888888888"/>
          <c:h val="0.7891972878390201"/>
        </c:manualLayout>
      </c:layout>
      <c:barChart>
        <c:barDir val="col"/>
        <c:grouping val="stacked"/>
        <c:varyColors val="0"/>
        <c:ser>
          <c:idx val="0"/>
          <c:order val="0"/>
          <c:tx>
            <c:strRef>
              <c:f>Analysis!$B$957</c:f>
              <c:strCache>
                <c:ptCount val="1"/>
                <c:pt idx="0">
                  <c:v>Net income adj</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Analysis!$C$955:$N$955</c:f>
              <c:strCache>
                <c:ptCount val="12"/>
                <c:pt idx="0">
                  <c:v>Q1 22</c:v>
                </c:pt>
                <c:pt idx="1">
                  <c:v>Q2 22</c:v>
                </c:pt>
                <c:pt idx="2">
                  <c:v>Q3 22</c:v>
                </c:pt>
                <c:pt idx="3">
                  <c:v>Q4 22</c:v>
                </c:pt>
                <c:pt idx="4">
                  <c:v>Q1 23</c:v>
                </c:pt>
                <c:pt idx="6">
                  <c:v>#REF!</c:v>
                </c:pt>
                <c:pt idx="7">
                  <c:v>#REF!</c:v>
                </c:pt>
                <c:pt idx="8">
                  <c:v>Q1 24</c:v>
                </c:pt>
                <c:pt idx="9">
                  <c:v>#REF!</c:v>
                </c:pt>
                <c:pt idx="10">
                  <c:v>Q3 24E</c:v>
                </c:pt>
                <c:pt idx="11">
                  <c:v>Q4 24E</c:v>
                </c:pt>
              </c:strCache>
            </c:strRef>
          </c:cat>
          <c:val>
            <c:numRef>
              <c:f>Analysis!$C$957:$N$957</c:f>
              <c:numCache>
                <c:formatCode>0</c:formatCode>
                <c:ptCount val="12"/>
                <c:pt idx="6">
                  <c:v>0</c:v>
                </c:pt>
                <c:pt idx="7">
                  <c:v>0</c:v>
                </c:pt>
                <c:pt idx="8">
                  <c:v>442.7</c:v>
                </c:pt>
                <c:pt idx="9">
                  <c:v>0</c:v>
                </c:pt>
                <c:pt idx="10">
                  <c:v>603.98850959894253</c:v>
                </c:pt>
                <c:pt idx="11">
                  <c:v>577.38104583525478</c:v>
                </c:pt>
              </c:numCache>
            </c:numRef>
          </c:val>
          <c:extLst>
            <c:ext xmlns:c16="http://schemas.microsoft.com/office/drawing/2014/chart" uri="{C3380CC4-5D6E-409C-BE32-E72D297353CC}">
              <c16:uniqueId val="{00000000-8EC9-473C-8963-6A3356CA5F73}"/>
            </c:ext>
          </c:extLst>
        </c:ser>
        <c:ser>
          <c:idx val="1"/>
          <c:order val="1"/>
          <c:tx>
            <c:strRef>
              <c:f>Analysis!$B$958</c:f>
              <c:strCache>
                <c:ptCount val="1"/>
                <c:pt idx="0">
                  <c:v>Brazil</c:v>
                </c:pt>
              </c:strCache>
            </c:strRef>
          </c:tx>
          <c:spPr>
            <a:solidFill>
              <a:srgbClr val="F9663E"/>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Analysis!$C$955:$N$955</c:f>
              <c:strCache>
                <c:ptCount val="12"/>
                <c:pt idx="0">
                  <c:v>Q1 22</c:v>
                </c:pt>
                <c:pt idx="1">
                  <c:v>Q2 22</c:v>
                </c:pt>
                <c:pt idx="2">
                  <c:v>Q3 22</c:v>
                </c:pt>
                <c:pt idx="3">
                  <c:v>Q4 22</c:v>
                </c:pt>
                <c:pt idx="4">
                  <c:v>Q1 23</c:v>
                </c:pt>
                <c:pt idx="6">
                  <c:v>#REF!</c:v>
                </c:pt>
                <c:pt idx="7">
                  <c:v>#REF!</c:v>
                </c:pt>
                <c:pt idx="8">
                  <c:v>Q1 24</c:v>
                </c:pt>
                <c:pt idx="9">
                  <c:v>#REF!</c:v>
                </c:pt>
                <c:pt idx="10">
                  <c:v>Q3 24E</c:v>
                </c:pt>
                <c:pt idx="11">
                  <c:v>Q4 24E</c:v>
                </c:pt>
              </c:strCache>
            </c:strRef>
          </c:cat>
          <c:val>
            <c:numRef>
              <c:f>Analysis!$C$958:$N$958</c:f>
              <c:numCache>
                <c:formatCode>0</c:formatCode>
                <c:ptCount val="12"/>
                <c:pt idx="0">
                  <c:v>12.6</c:v>
                </c:pt>
                <c:pt idx="1">
                  <c:v>47.6</c:v>
                </c:pt>
                <c:pt idx="2">
                  <c:v>64.099999999999994</c:v>
                </c:pt>
                <c:pt idx="3">
                  <c:v>157.69999999999999</c:v>
                </c:pt>
              </c:numCache>
            </c:numRef>
          </c:val>
          <c:extLst>
            <c:ext xmlns:c16="http://schemas.microsoft.com/office/drawing/2014/chart" uri="{C3380CC4-5D6E-409C-BE32-E72D297353CC}">
              <c16:uniqueId val="{00000001-8EC9-473C-8963-6A3356CA5F73}"/>
            </c:ext>
          </c:extLst>
        </c:ser>
        <c:ser>
          <c:idx val="2"/>
          <c:order val="2"/>
          <c:tx>
            <c:strRef>
              <c:f>Analysis!$B$959</c:f>
              <c:strCache>
                <c:ptCount val="1"/>
                <c:pt idx="0">
                  <c:v>Other (Consol. Less Br)</c:v>
                </c:pt>
              </c:strCache>
            </c:strRef>
          </c:tx>
          <c:spPr>
            <a:solidFill>
              <a:srgbClr val="C7FE02"/>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Analysis!$C$955:$N$955</c:f>
              <c:strCache>
                <c:ptCount val="12"/>
                <c:pt idx="0">
                  <c:v>Q1 22</c:v>
                </c:pt>
                <c:pt idx="1">
                  <c:v>Q2 22</c:v>
                </c:pt>
                <c:pt idx="2">
                  <c:v>Q3 22</c:v>
                </c:pt>
                <c:pt idx="3">
                  <c:v>Q4 22</c:v>
                </c:pt>
                <c:pt idx="4">
                  <c:v>Q1 23</c:v>
                </c:pt>
                <c:pt idx="6">
                  <c:v>#REF!</c:v>
                </c:pt>
                <c:pt idx="7">
                  <c:v>#REF!</c:v>
                </c:pt>
                <c:pt idx="8">
                  <c:v>Q1 24</c:v>
                </c:pt>
                <c:pt idx="9">
                  <c:v>#REF!</c:v>
                </c:pt>
                <c:pt idx="10">
                  <c:v>Q3 24E</c:v>
                </c:pt>
                <c:pt idx="11">
                  <c:v>Q4 24E</c:v>
                </c:pt>
              </c:strCache>
            </c:strRef>
          </c:cat>
          <c:val>
            <c:numRef>
              <c:f>Analysis!$C$959:$N$959</c:f>
              <c:numCache>
                <c:formatCode>0</c:formatCode>
                <c:ptCount val="12"/>
                <c:pt idx="0">
                  <c:v>-2.5</c:v>
                </c:pt>
                <c:pt idx="1">
                  <c:v>-30.6</c:v>
                </c:pt>
                <c:pt idx="2">
                  <c:v>8.9000000000000057</c:v>
                </c:pt>
                <c:pt idx="3">
                  <c:v>-43.699999999999989</c:v>
                </c:pt>
              </c:numCache>
            </c:numRef>
          </c:val>
          <c:extLst>
            <c:ext xmlns:c16="http://schemas.microsoft.com/office/drawing/2014/chart" uri="{C3380CC4-5D6E-409C-BE32-E72D297353CC}">
              <c16:uniqueId val="{00000002-8EC9-473C-8963-6A3356CA5F73}"/>
            </c:ext>
          </c:extLst>
        </c:ser>
        <c:dLbls>
          <c:showLegendKey val="0"/>
          <c:showVal val="0"/>
          <c:showCatName val="0"/>
          <c:showSerName val="0"/>
          <c:showPercent val="0"/>
          <c:showBubbleSize val="0"/>
        </c:dLbls>
        <c:gapWidth val="30"/>
        <c:overlap val="100"/>
        <c:axId val="684547936"/>
        <c:axId val="684535936"/>
      </c:barChart>
      <c:catAx>
        <c:axId val="684547936"/>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684535936"/>
        <c:crosses val="autoZero"/>
        <c:auto val="1"/>
        <c:lblAlgn val="ctr"/>
        <c:lblOffset val="100"/>
        <c:noMultiLvlLbl val="0"/>
      </c:catAx>
      <c:valAx>
        <c:axId val="684535936"/>
        <c:scaling>
          <c:orientation val="minMax"/>
        </c:scaling>
        <c:delete val="1"/>
        <c:axPos val="l"/>
        <c:numFmt formatCode="0" sourceLinked="1"/>
        <c:majorTickMark val="out"/>
        <c:minorTickMark val="none"/>
        <c:tickLblPos val="nextTo"/>
        <c:crossAx val="684547936"/>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Pt>
            <c:idx val="1"/>
            <c:invertIfNegative val="0"/>
            <c:bubble3D val="0"/>
            <c:spPr>
              <a:no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8690-4887-AFC5-0CDFE57B47D4}"/>
              </c:ext>
            </c:extLst>
          </c:dPt>
          <c:dPt>
            <c:idx val="2"/>
            <c:invertIfNegative val="0"/>
            <c:bubble3D val="0"/>
            <c:spPr>
              <a:no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8690-4887-AFC5-0CDFE57B47D4}"/>
              </c:ext>
            </c:extLst>
          </c:dPt>
          <c:dPt>
            <c:idx val="3"/>
            <c:invertIfNegative val="0"/>
            <c:bubble3D val="0"/>
            <c:spPr>
              <a:no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8690-4887-AFC5-0CDFE57B47D4}"/>
              </c:ext>
            </c:extLst>
          </c:dPt>
          <c:cat>
            <c:strRef>
              <c:f>Analysis!$B$982:$B$986</c:f>
              <c:strCache>
                <c:ptCount val="5"/>
                <c:pt idx="0">
                  <c:v>Non interest revenue</c:v>
                </c:pt>
                <c:pt idx="1">
                  <c:v>Interest revenue</c:v>
                </c:pt>
                <c:pt idx="2">
                  <c:v>Funding cost</c:v>
                </c:pt>
                <c:pt idx="3">
                  <c:v>Losses</c:v>
                </c:pt>
                <c:pt idx="4">
                  <c:v>Net CC margin</c:v>
                </c:pt>
              </c:strCache>
            </c:strRef>
          </c:cat>
          <c:val>
            <c:numRef>
              <c:f>Analysis!$C$982:$C$986</c:f>
              <c:numCache>
                <c:formatCode>0%</c:formatCode>
                <c:ptCount val="5"/>
                <c:pt idx="1">
                  <c:v>0.11</c:v>
                </c:pt>
                <c:pt idx="2">
                  <c:v>0.27</c:v>
                </c:pt>
                <c:pt idx="3">
                  <c:v>0.16000000000000003</c:v>
                </c:pt>
              </c:numCache>
            </c:numRef>
          </c:val>
          <c:extLst>
            <c:ext xmlns:c16="http://schemas.microsoft.com/office/drawing/2014/chart" uri="{C3380CC4-5D6E-409C-BE32-E72D297353CC}">
              <c16:uniqueId val="{00000000-8690-4887-AFC5-0CDFE57B47D4}"/>
            </c:ext>
          </c:extLst>
        </c:ser>
        <c:ser>
          <c:idx val="1"/>
          <c:order val="1"/>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Analysis!$B$982:$B$986</c:f>
              <c:strCache>
                <c:ptCount val="5"/>
                <c:pt idx="0">
                  <c:v>Non interest revenue</c:v>
                </c:pt>
                <c:pt idx="1">
                  <c:v>Interest revenue</c:v>
                </c:pt>
                <c:pt idx="2">
                  <c:v>Funding cost</c:v>
                </c:pt>
                <c:pt idx="3">
                  <c:v>Losses</c:v>
                </c:pt>
                <c:pt idx="4">
                  <c:v>Net CC margin</c:v>
                </c:pt>
              </c:strCache>
            </c:strRef>
          </c:cat>
          <c:val>
            <c:numRef>
              <c:f>Analysis!$D$982:$D$986</c:f>
              <c:numCache>
                <c:formatCode>0%</c:formatCode>
                <c:ptCount val="5"/>
                <c:pt idx="0">
                  <c:v>0.11</c:v>
                </c:pt>
                <c:pt idx="1">
                  <c:v>0.16</c:v>
                </c:pt>
                <c:pt idx="2">
                  <c:v>0</c:v>
                </c:pt>
                <c:pt idx="3">
                  <c:v>0.11</c:v>
                </c:pt>
                <c:pt idx="4">
                  <c:v>0.16</c:v>
                </c:pt>
              </c:numCache>
            </c:numRef>
          </c:val>
          <c:extLst>
            <c:ext xmlns:c16="http://schemas.microsoft.com/office/drawing/2014/chart" uri="{C3380CC4-5D6E-409C-BE32-E72D297353CC}">
              <c16:uniqueId val="{00000001-8690-4887-AFC5-0CDFE57B47D4}"/>
            </c:ext>
          </c:extLst>
        </c:ser>
        <c:dLbls>
          <c:showLegendKey val="0"/>
          <c:showVal val="0"/>
          <c:showCatName val="0"/>
          <c:showSerName val="0"/>
          <c:showPercent val="0"/>
          <c:showBubbleSize val="0"/>
        </c:dLbls>
        <c:gapWidth val="30"/>
        <c:overlap val="100"/>
        <c:axId val="70820320"/>
        <c:axId val="70823680"/>
      </c:barChart>
      <c:catAx>
        <c:axId val="7082032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70823680"/>
        <c:crosses val="autoZero"/>
        <c:auto val="1"/>
        <c:lblAlgn val="ctr"/>
        <c:lblOffset val="100"/>
        <c:noMultiLvlLbl val="0"/>
      </c:catAx>
      <c:valAx>
        <c:axId val="70823680"/>
        <c:scaling>
          <c:orientation val="minMax"/>
        </c:scaling>
        <c:delete val="1"/>
        <c:axPos val="l"/>
        <c:numFmt formatCode="General" sourceLinked="1"/>
        <c:majorTickMark val="out"/>
        <c:minorTickMark val="none"/>
        <c:tickLblPos val="nextTo"/>
        <c:crossAx val="7082032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noFill/>
            <a:ln>
              <a:noFill/>
            </a:ln>
            <a:effectLst/>
            <a:extLst>
              <a:ext uri="{91240B29-F687-4F45-9708-019B960494DF}">
                <a14:hiddenLine xmlns:a14="http://schemas.microsoft.com/office/drawing/2010/main">
                  <a:noFill/>
                </a14:hiddenLine>
              </a:ext>
            </a:extLst>
          </c:spPr>
          <c:invertIfNegative val="0"/>
          <c:cat>
            <c:strRef>
              <c:f>Analysis!$B$1000:$B$1004</c:f>
              <c:strCache>
                <c:ptCount val="5"/>
                <c:pt idx="0">
                  <c:v>Non interest revenue</c:v>
                </c:pt>
                <c:pt idx="1">
                  <c:v>Interest revenue</c:v>
                </c:pt>
                <c:pt idx="2">
                  <c:v>Funding cost</c:v>
                </c:pt>
                <c:pt idx="3">
                  <c:v>Losses</c:v>
                </c:pt>
                <c:pt idx="4">
                  <c:v>Net Personal loan margin</c:v>
                </c:pt>
              </c:strCache>
            </c:strRef>
          </c:cat>
          <c:val>
            <c:numRef>
              <c:f>Analysis!$C$1000:$C$1004</c:f>
              <c:numCache>
                <c:formatCode>0%</c:formatCode>
                <c:ptCount val="5"/>
                <c:pt idx="1">
                  <c:v>0</c:v>
                </c:pt>
                <c:pt idx="2">
                  <c:v>0.44249999999999995</c:v>
                </c:pt>
                <c:pt idx="3">
                  <c:v>0.22249999999999995</c:v>
                </c:pt>
              </c:numCache>
            </c:numRef>
          </c:val>
          <c:extLst>
            <c:ext xmlns:c16="http://schemas.microsoft.com/office/drawing/2014/chart" uri="{C3380CC4-5D6E-409C-BE32-E72D297353CC}">
              <c16:uniqueId val="{00000000-B1B2-4E7F-A6AB-D00D6D9670DF}"/>
            </c:ext>
          </c:extLst>
        </c:ser>
        <c:ser>
          <c:idx val="1"/>
          <c:order val="1"/>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Analysis!$B$1000:$B$1004</c:f>
              <c:strCache>
                <c:ptCount val="5"/>
                <c:pt idx="0">
                  <c:v>Non interest revenue</c:v>
                </c:pt>
                <c:pt idx="1">
                  <c:v>Interest revenue</c:v>
                </c:pt>
                <c:pt idx="2">
                  <c:v>Funding cost</c:v>
                </c:pt>
                <c:pt idx="3">
                  <c:v>Losses</c:v>
                </c:pt>
                <c:pt idx="4">
                  <c:v>Net Personal loan margin</c:v>
                </c:pt>
              </c:strCache>
            </c:strRef>
          </c:cat>
          <c:val>
            <c:numRef>
              <c:f>Analysis!$D$1000:$D$1004</c:f>
              <c:numCache>
                <c:formatCode>0%</c:formatCode>
                <c:ptCount val="5"/>
                <c:pt idx="0">
                  <c:v>0</c:v>
                </c:pt>
                <c:pt idx="1">
                  <c:v>0.57999999999999996</c:v>
                </c:pt>
                <c:pt idx="2">
                  <c:v>0.13750000000000001</c:v>
                </c:pt>
                <c:pt idx="3">
                  <c:v>0.22</c:v>
                </c:pt>
                <c:pt idx="4">
                  <c:v>0.22</c:v>
                </c:pt>
              </c:numCache>
            </c:numRef>
          </c:val>
          <c:extLst>
            <c:ext xmlns:c16="http://schemas.microsoft.com/office/drawing/2014/chart" uri="{C3380CC4-5D6E-409C-BE32-E72D297353CC}">
              <c16:uniqueId val="{00000001-B1B2-4E7F-A6AB-D00D6D9670DF}"/>
            </c:ext>
          </c:extLst>
        </c:ser>
        <c:dLbls>
          <c:showLegendKey val="0"/>
          <c:showVal val="0"/>
          <c:showCatName val="0"/>
          <c:showSerName val="0"/>
          <c:showPercent val="0"/>
          <c:showBubbleSize val="0"/>
        </c:dLbls>
        <c:gapWidth val="30"/>
        <c:overlap val="100"/>
        <c:axId val="70784320"/>
        <c:axId val="70786240"/>
      </c:barChart>
      <c:catAx>
        <c:axId val="7078432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70786240"/>
        <c:crosses val="autoZero"/>
        <c:auto val="1"/>
        <c:lblAlgn val="ctr"/>
        <c:lblOffset val="100"/>
        <c:noMultiLvlLbl val="0"/>
      </c:catAx>
      <c:valAx>
        <c:axId val="70786240"/>
        <c:scaling>
          <c:orientation val="minMax"/>
        </c:scaling>
        <c:delete val="1"/>
        <c:axPos val="l"/>
        <c:numFmt formatCode="General" sourceLinked="1"/>
        <c:majorTickMark val="out"/>
        <c:minorTickMark val="none"/>
        <c:tickLblPos val="nextTo"/>
        <c:crossAx val="7078432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noFill/>
            <a:ln>
              <a:noFill/>
            </a:ln>
            <a:effectLst/>
            <a:extLst>
              <a:ext uri="{91240B29-F687-4F45-9708-019B960494DF}">
                <a14:hiddenLine xmlns:a14="http://schemas.microsoft.com/office/drawing/2010/main">
                  <a:noFill/>
                </a14:hiddenLine>
              </a:ext>
            </a:extLst>
          </c:spPr>
          <c:invertIfNegative val="0"/>
          <c:cat>
            <c:strRef>
              <c:f>Analysis!$B$1018:$B$1022</c:f>
              <c:strCache>
                <c:ptCount val="5"/>
                <c:pt idx="0">
                  <c:v>Non interest revenue</c:v>
                </c:pt>
                <c:pt idx="1">
                  <c:v>Interest revenue</c:v>
                </c:pt>
                <c:pt idx="2">
                  <c:v>Funding cost</c:v>
                </c:pt>
                <c:pt idx="3">
                  <c:v>Losses</c:v>
                </c:pt>
                <c:pt idx="4">
                  <c:v>Net Payroll margin</c:v>
                </c:pt>
              </c:strCache>
            </c:strRef>
          </c:cat>
          <c:val>
            <c:numRef>
              <c:f>Analysis!$C$1018:$C$1022</c:f>
              <c:numCache>
                <c:formatCode>0%</c:formatCode>
                <c:ptCount val="5"/>
                <c:pt idx="1">
                  <c:v>0</c:v>
                </c:pt>
                <c:pt idx="2">
                  <c:v>9.8899999999999988E-2</c:v>
                </c:pt>
                <c:pt idx="3">
                  <c:v>6.8899999999999989E-2</c:v>
                </c:pt>
              </c:numCache>
            </c:numRef>
          </c:val>
          <c:extLst>
            <c:ext xmlns:c16="http://schemas.microsoft.com/office/drawing/2014/chart" uri="{C3380CC4-5D6E-409C-BE32-E72D297353CC}">
              <c16:uniqueId val="{00000000-9650-40DB-A384-AB2D1B1E027F}"/>
            </c:ext>
          </c:extLst>
        </c:ser>
        <c:ser>
          <c:idx val="1"/>
          <c:order val="1"/>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Analysis!$B$1018:$B$1022</c:f>
              <c:strCache>
                <c:ptCount val="5"/>
                <c:pt idx="0">
                  <c:v>Non interest revenue</c:v>
                </c:pt>
                <c:pt idx="1">
                  <c:v>Interest revenue</c:v>
                </c:pt>
                <c:pt idx="2">
                  <c:v>Funding cost</c:v>
                </c:pt>
                <c:pt idx="3">
                  <c:v>Losses</c:v>
                </c:pt>
                <c:pt idx="4">
                  <c:v>Net Payroll margin</c:v>
                </c:pt>
              </c:strCache>
            </c:strRef>
          </c:cat>
          <c:val>
            <c:numRef>
              <c:f>Analysis!$D$1018:$D$1022</c:f>
              <c:numCache>
                <c:formatCode>0%</c:formatCode>
                <c:ptCount val="5"/>
                <c:pt idx="0">
                  <c:v>0</c:v>
                </c:pt>
                <c:pt idx="1">
                  <c:v>0.2364</c:v>
                </c:pt>
                <c:pt idx="2">
                  <c:v>0.13750000000000001</c:v>
                </c:pt>
                <c:pt idx="3">
                  <c:v>0.03</c:v>
                </c:pt>
                <c:pt idx="4">
                  <c:v>6.8899999999999989E-2</c:v>
                </c:pt>
              </c:numCache>
            </c:numRef>
          </c:val>
          <c:extLst>
            <c:ext xmlns:c16="http://schemas.microsoft.com/office/drawing/2014/chart" uri="{C3380CC4-5D6E-409C-BE32-E72D297353CC}">
              <c16:uniqueId val="{00000001-9650-40DB-A384-AB2D1B1E027F}"/>
            </c:ext>
          </c:extLst>
        </c:ser>
        <c:dLbls>
          <c:showLegendKey val="0"/>
          <c:showVal val="0"/>
          <c:showCatName val="0"/>
          <c:showSerName val="0"/>
          <c:showPercent val="0"/>
          <c:showBubbleSize val="0"/>
        </c:dLbls>
        <c:gapWidth val="30"/>
        <c:overlap val="100"/>
        <c:axId val="70784320"/>
        <c:axId val="70786240"/>
      </c:barChart>
      <c:catAx>
        <c:axId val="7078432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70786240"/>
        <c:crosses val="autoZero"/>
        <c:auto val="1"/>
        <c:lblAlgn val="ctr"/>
        <c:lblOffset val="100"/>
        <c:noMultiLvlLbl val="0"/>
      </c:catAx>
      <c:valAx>
        <c:axId val="70786240"/>
        <c:scaling>
          <c:orientation val="minMax"/>
        </c:scaling>
        <c:delete val="1"/>
        <c:axPos val="l"/>
        <c:numFmt formatCode="General" sourceLinked="1"/>
        <c:majorTickMark val="out"/>
        <c:minorTickMark val="none"/>
        <c:tickLblPos val="nextTo"/>
        <c:crossAx val="7078432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'Earnings snap'!$C$394:$K$394</c:f>
              <c:numCache>
                <c:formatCode>#,##0</c:formatCode>
                <c:ptCount val="4"/>
                <c:pt idx="0">
                  <c:v>37744.797419999995</c:v>
                </c:pt>
                <c:pt idx="1">
                  <c:v>42307.359015999995</c:v>
                </c:pt>
                <c:pt idx="2">
                  <c:v>49019.520000000004</c:v>
                </c:pt>
                <c:pt idx="3">
                  <c:v>52998.439999999995</c:v>
                </c:pt>
              </c:numCache>
            </c:numRef>
          </c:val>
          <c:extLst>
            <c:ext xmlns:c16="http://schemas.microsoft.com/office/drawing/2014/chart" uri="{C3380CC4-5D6E-409C-BE32-E72D297353CC}">
              <c16:uniqueId val="{00000000-B16D-4499-9FB7-DC2C9E8C5C9B}"/>
            </c:ext>
          </c:extLst>
        </c:ser>
        <c:ser>
          <c:idx val="1"/>
          <c:order val="1"/>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'Earnings snap'!$C$395:$K$395</c:f>
              <c:numCache>
                <c:formatCode>#,##0</c:formatCode>
                <c:ptCount val="4"/>
                <c:pt idx="0">
                  <c:v>10236.23878</c:v>
                </c:pt>
                <c:pt idx="1">
                  <c:v>10315.092392500001</c:v>
                </c:pt>
                <c:pt idx="2">
                  <c:v>10417.44</c:v>
                </c:pt>
                <c:pt idx="3">
                  <c:v>11820.16</c:v>
                </c:pt>
              </c:numCache>
            </c:numRef>
          </c:val>
          <c:extLst>
            <c:ext xmlns:c16="http://schemas.microsoft.com/office/drawing/2014/chart" uri="{C3380CC4-5D6E-409C-BE32-E72D297353CC}">
              <c16:uniqueId val="{00000001-B16D-4499-9FB7-DC2C9E8C5C9B}"/>
            </c:ext>
          </c:extLst>
        </c:ser>
        <c:dLbls>
          <c:showLegendKey val="0"/>
          <c:showVal val="0"/>
          <c:showCatName val="0"/>
          <c:showSerName val="0"/>
          <c:showPercent val="0"/>
          <c:showBubbleSize val="0"/>
        </c:dLbls>
        <c:gapWidth val="30"/>
        <c:overlap val="-27"/>
        <c:axId val="1044596512"/>
        <c:axId val="1044585952"/>
      </c:barChart>
      <c:catAx>
        <c:axId val="104459651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044585952"/>
        <c:crosses val="autoZero"/>
        <c:auto val="1"/>
        <c:lblAlgn val="ctr"/>
        <c:lblOffset val="100"/>
        <c:noMultiLvlLbl val="0"/>
      </c:catAx>
      <c:valAx>
        <c:axId val="1044585952"/>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04459651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Analysis!$B$1104</c:f>
              <c:strCache>
                <c:ptCount val="1"/>
                <c:pt idx="0">
                  <c:v>Instalments NU</c:v>
                </c:pt>
              </c:strCache>
            </c:strRef>
          </c:tx>
          <c:spPr>
            <a:ln w="25400" cap="rnd">
              <a:solidFill>
                <a:srgbClr val="799098"/>
              </a:solidFill>
              <a:prstDash val="sys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Analysis!$C$1103:$G$1103</c:f>
              <c:strCache>
                <c:ptCount val="5"/>
                <c:pt idx="0">
                  <c:v>Q2 22</c:v>
                </c:pt>
                <c:pt idx="1">
                  <c:v>Q3 22</c:v>
                </c:pt>
                <c:pt idx="2">
                  <c:v>Q4 23</c:v>
                </c:pt>
                <c:pt idx="3">
                  <c:v>Q1 23</c:v>
                </c:pt>
                <c:pt idx="4">
                  <c:v>Q2 23</c:v>
                </c:pt>
              </c:strCache>
            </c:strRef>
          </c:cat>
          <c:val>
            <c:numRef>
              <c:f>Analysis!$C$1104:$G$1104</c:f>
              <c:numCache>
                <c:formatCode>0%</c:formatCode>
                <c:ptCount val="5"/>
                <c:pt idx="0">
                  <c:v>0.08</c:v>
                </c:pt>
                <c:pt idx="1">
                  <c:v>0.1</c:v>
                </c:pt>
                <c:pt idx="2">
                  <c:v>0.12</c:v>
                </c:pt>
                <c:pt idx="3">
                  <c:v>0.16</c:v>
                </c:pt>
                <c:pt idx="4">
                  <c:v>0.19</c:v>
                </c:pt>
              </c:numCache>
            </c:numRef>
          </c:val>
          <c:smooth val="0"/>
          <c:extLst>
            <c:ext xmlns:c16="http://schemas.microsoft.com/office/drawing/2014/chart" uri="{C3380CC4-5D6E-409C-BE32-E72D297353CC}">
              <c16:uniqueId val="{00000000-0CC4-457A-9B47-2F009BB4FB05}"/>
            </c:ext>
          </c:extLst>
        </c:ser>
        <c:ser>
          <c:idx val="1"/>
          <c:order val="1"/>
          <c:tx>
            <c:strRef>
              <c:f>Analysis!$B$1105</c:f>
              <c:strCache>
                <c:ptCount val="1"/>
                <c:pt idx="0">
                  <c:v>Revolving NU</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Analysis!$C$1103:$G$1103</c:f>
              <c:strCache>
                <c:ptCount val="5"/>
                <c:pt idx="0">
                  <c:v>Q2 22</c:v>
                </c:pt>
                <c:pt idx="1">
                  <c:v>Q3 22</c:v>
                </c:pt>
                <c:pt idx="2">
                  <c:v>Q4 23</c:v>
                </c:pt>
                <c:pt idx="3">
                  <c:v>Q1 23</c:v>
                </c:pt>
                <c:pt idx="4">
                  <c:v>Q2 23</c:v>
                </c:pt>
              </c:strCache>
            </c:strRef>
          </c:cat>
          <c:val>
            <c:numRef>
              <c:f>Analysis!$C$1105:$G$1105</c:f>
              <c:numCache>
                <c:formatCode>0%</c:formatCode>
                <c:ptCount val="5"/>
                <c:pt idx="0">
                  <c:v>0.06</c:v>
                </c:pt>
                <c:pt idx="1">
                  <c:v>7.0000000000000007E-2</c:v>
                </c:pt>
                <c:pt idx="2">
                  <c:v>7.0000000000000007E-2</c:v>
                </c:pt>
                <c:pt idx="3">
                  <c:v>7.0000000000000007E-2</c:v>
                </c:pt>
                <c:pt idx="4">
                  <c:v>7.0000000000000007E-2</c:v>
                </c:pt>
              </c:numCache>
            </c:numRef>
          </c:val>
          <c:smooth val="0"/>
          <c:extLst>
            <c:ext xmlns:c16="http://schemas.microsoft.com/office/drawing/2014/chart" uri="{C3380CC4-5D6E-409C-BE32-E72D297353CC}">
              <c16:uniqueId val="{00000001-0CC4-457A-9B47-2F009BB4FB05}"/>
            </c:ext>
          </c:extLst>
        </c:ser>
        <c:ser>
          <c:idx val="2"/>
          <c:order val="2"/>
          <c:tx>
            <c:strRef>
              <c:f>Analysis!$B$1106</c:f>
              <c:strCache>
                <c:ptCount val="1"/>
                <c:pt idx="0">
                  <c:v>Instalments Industry</c:v>
                </c:pt>
              </c:strCache>
            </c:strRef>
          </c:tx>
          <c:spPr>
            <a:ln w="25400" cap="rnd">
              <a:solidFill>
                <a:srgbClr val="F9663E"/>
              </a:solidFill>
              <a:prstDash val="sys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Analysis!$C$1103:$G$1103</c:f>
              <c:strCache>
                <c:ptCount val="5"/>
                <c:pt idx="0">
                  <c:v>Q2 22</c:v>
                </c:pt>
                <c:pt idx="1">
                  <c:v>Q3 22</c:v>
                </c:pt>
                <c:pt idx="2">
                  <c:v>Q4 23</c:v>
                </c:pt>
                <c:pt idx="3">
                  <c:v>Q1 23</c:v>
                </c:pt>
                <c:pt idx="4">
                  <c:v>Q2 23</c:v>
                </c:pt>
              </c:strCache>
            </c:strRef>
          </c:cat>
          <c:val>
            <c:numRef>
              <c:f>Analysis!$C$1106:$G$1106</c:f>
              <c:numCache>
                <c:formatCode>0%</c:formatCode>
                <c:ptCount val="5"/>
                <c:pt idx="0">
                  <c:v>0.1</c:v>
                </c:pt>
                <c:pt idx="1">
                  <c:v>0.1</c:v>
                </c:pt>
                <c:pt idx="2">
                  <c:v>0.09</c:v>
                </c:pt>
                <c:pt idx="3">
                  <c:v>0.1</c:v>
                </c:pt>
                <c:pt idx="4">
                  <c:v>0.11</c:v>
                </c:pt>
              </c:numCache>
            </c:numRef>
          </c:val>
          <c:smooth val="0"/>
          <c:extLst>
            <c:ext xmlns:c16="http://schemas.microsoft.com/office/drawing/2014/chart" uri="{C3380CC4-5D6E-409C-BE32-E72D297353CC}">
              <c16:uniqueId val="{00000002-0CC4-457A-9B47-2F009BB4FB05}"/>
            </c:ext>
          </c:extLst>
        </c:ser>
        <c:ser>
          <c:idx val="3"/>
          <c:order val="3"/>
          <c:tx>
            <c:strRef>
              <c:f>Analysis!$B$1107</c:f>
              <c:strCache>
                <c:ptCount val="1"/>
                <c:pt idx="0">
                  <c:v>Revolving Industry</c:v>
                </c:pt>
              </c:strCache>
            </c:strRef>
          </c:tx>
          <c:spPr>
            <a:ln w="25400" cap="rnd">
              <a:solidFill>
                <a:srgbClr val="FF0000"/>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Analysis!$C$1103:$G$1103</c:f>
              <c:strCache>
                <c:ptCount val="5"/>
                <c:pt idx="0">
                  <c:v>Q2 22</c:v>
                </c:pt>
                <c:pt idx="1">
                  <c:v>Q3 22</c:v>
                </c:pt>
                <c:pt idx="2">
                  <c:v>Q4 23</c:v>
                </c:pt>
                <c:pt idx="3">
                  <c:v>Q1 23</c:v>
                </c:pt>
                <c:pt idx="4">
                  <c:v>Q2 23</c:v>
                </c:pt>
              </c:strCache>
            </c:strRef>
          </c:cat>
          <c:val>
            <c:numRef>
              <c:f>Analysis!$C$1107:$G$1107</c:f>
              <c:numCache>
                <c:formatCode>0%</c:formatCode>
                <c:ptCount val="5"/>
                <c:pt idx="0">
                  <c:v>0.15</c:v>
                </c:pt>
                <c:pt idx="1">
                  <c:v>0.17</c:v>
                </c:pt>
                <c:pt idx="2">
                  <c:v>0.17</c:v>
                </c:pt>
                <c:pt idx="3">
                  <c:v>0.18</c:v>
                </c:pt>
                <c:pt idx="4">
                  <c:v>0.16</c:v>
                </c:pt>
              </c:numCache>
            </c:numRef>
          </c:val>
          <c:smooth val="0"/>
          <c:extLst>
            <c:ext xmlns:c16="http://schemas.microsoft.com/office/drawing/2014/chart" uri="{C3380CC4-5D6E-409C-BE32-E72D297353CC}">
              <c16:uniqueId val="{00000003-0CC4-457A-9B47-2F009BB4FB05}"/>
            </c:ext>
          </c:extLst>
        </c:ser>
        <c:dLbls>
          <c:showLegendKey val="0"/>
          <c:showVal val="0"/>
          <c:showCatName val="0"/>
          <c:showSerName val="0"/>
          <c:showPercent val="0"/>
          <c:showBubbleSize val="0"/>
        </c:dLbls>
        <c:smooth val="0"/>
        <c:axId val="488992640"/>
        <c:axId val="946798992"/>
      </c:lineChart>
      <c:catAx>
        <c:axId val="48899264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946798992"/>
        <c:crosses val="autoZero"/>
        <c:auto val="1"/>
        <c:lblAlgn val="ctr"/>
        <c:lblOffset val="100"/>
        <c:noMultiLvlLbl val="0"/>
      </c:catAx>
      <c:valAx>
        <c:axId val="946798992"/>
        <c:scaling>
          <c:orientation val="minMax"/>
        </c:scaling>
        <c:delete val="1"/>
        <c:axPos val="l"/>
        <c:numFmt formatCode="0%" sourceLinked="1"/>
        <c:majorTickMark val="out"/>
        <c:minorTickMark val="none"/>
        <c:tickLblPos val="nextTo"/>
        <c:crossAx val="48899264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Analysis!$B$1091</c:f>
              <c:strCache>
                <c:ptCount val="1"/>
                <c:pt idx="0">
                  <c:v>Instalments component</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cat>
            <c:strRef>
              <c:f>Analysis!$C$1088:$D$1088</c:f>
              <c:strCache>
                <c:ptCount val="2"/>
                <c:pt idx="0">
                  <c:v>Q2 22</c:v>
                </c:pt>
                <c:pt idx="1">
                  <c:v>Q2 23</c:v>
                </c:pt>
              </c:strCache>
            </c:strRef>
          </c:cat>
          <c:val>
            <c:numRef>
              <c:f>Analysis!$C$1091:$D$1091</c:f>
              <c:numCache>
                <c:formatCode>#,##0</c:formatCode>
                <c:ptCount val="2"/>
                <c:pt idx="0">
                  <c:v>518.27760000000001</c:v>
                </c:pt>
                <c:pt idx="1">
                  <c:v>1973.72</c:v>
                </c:pt>
              </c:numCache>
            </c:numRef>
          </c:val>
          <c:extLst>
            <c:ext xmlns:c16="http://schemas.microsoft.com/office/drawing/2014/chart" uri="{C3380CC4-5D6E-409C-BE32-E72D297353CC}">
              <c16:uniqueId val="{00000000-DA0C-4FCA-87D6-68C31E140DA8}"/>
            </c:ext>
          </c:extLst>
        </c:ser>
        <c:dLbls>
          <c:showLegendKey val="0"/>
          <c:showVal val="0"/>
          <c:showCatName val="0"/>
          <c:showSerName val="0"/>
          <c:showPercent val="0"/>
          <c:showBubbleSize val="0"/>
        </c:dLbls>
        <c:gapWidth val="30"/>
        <c:overlap val="-27"/>
        <c:axId val="1915275200"/>
        <c:axId val="1738035808"/>
      </c:barChart>
      <c:catAx>
        <c:axId val="191527520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738035808"/>
        <c:crosses val="autoZero"/>
        <c:auto val="1"/>
        <c:lblAlgn val="ctr"/>
        <c:lblOffset val="100"/>
        <c:noMultiLvlLbl val="0"/>
      </c:catAx>
      <c:valAx>
        <c:axId val="1738035808"/>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91527520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193382783056028"/>
          <c:y val="5.9722016615699376E-2"/>
          <c:w val="0.49372227133954971"/>
          <c:h val="0.61671981072995152"/>
        </c:manualLayout>
      </c:layout>
      <c:pieChart>
        <c:varyColors val="1"/>
        <c:ser>
          <c:idx val="0"/>
          <c:order val="0"/>
          <c:dPt>
            <c:idx val="0"/>
            <c:bubble3D val="0"/>
            <c:spPr>
              <a:solidFill>
                <a:srgbClr val="263238"/>
              </a:solidFill>
              <a:ln w="25400">
                <a:noFill/>
              </a:ln>
              <a:effectLst/>
            </c:spPr>
            <c:extLst>
              <c:ext xmlns:c16="http://schemas.microsoft.com/office/drawing/2014/chart" uri="{C3380CC4-5D6E-409C-BE32-E72D297353CC}">
                <c16:uniqueId val="{00000001-B20E-4D16-A358-5583867D5B06}"/>
              </c:ext>
            </c:extLst>
          </c:dPt>
          <c:dPt>
            <c:idx val="1"/>
            <c:bubble3D val="0"/>
            <c:spPr>
              <a:solidFill>
                <a:srgbClr val="F9663E"/>
              </a:solidFill>
              <a:ln w="25400">
                <a:noFill/>
              </a:ln>
              <a:effectLst/>
            </c:spPr>
            <c:extLst>
              <c:ext xmlns:c16="http://schemas.microsoft.com/office/drawing/2014/chart" uri="{C3380CC4-5D6E-409C-BE32-E72D297353CC}">
                <c16:uniqueId val="{00000002-B20E-4D16-A358-5583867D5B06}"/>
              </c:ext>
            </c:extLst>
          </c:dPt>
          <c:dPt>
            <c:idx val="2"/>
            <c:bubble3D val="0"/>
            <c:spPr>
              <a:solidFill>
                <a:srgbClr val="799098"/>
              </a:solidFill>
              <a:ln w="25400">
                <a:noFill/>
              </a:ln>
              <a:effectLst/>
            </c:spPr>
            <c:extLst>
              <c:ext xmlns:c16="http://schemas.microsoft.com/office/drawing/2014/chart" uri="{C3380CC4-5D6E-409C-BE32-E72D297353CC}">
                <c16:uniqueId val="{00000003-B20E-4D16-A358-5583867D5B06}"/>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Helvetica Neue"/>
                    <a:ea typeface="Helvetica Neue"/>
                    <a:cs typeface="Helvetica Neue"/>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Analysis!$B$1130:$B$1132</c:f>
              <c:strCache>
                <c:ptCount val="3"/>
                <c:pt idx="0">
                  <c:v>Credit cards</c:v>
                </c:pt>
                <c:pt idx="1">
                  <c:v>Personal loans</c:v>
                </c:pt>
                <c:pt idx="2">
                  <c:v>Other (including interest on securities)</c:v>
                </c:pt>
              </c:strCache>
            </c:strRef>
          </c:cat>
          <c:val>
            <c:numRef>
              <c:f>Analysis!$C$1130:$C$1132</c:f>
              <c:numCache>
                <c:formatCode>#,##0</c:formatCode>
                <c:ptCount val="3"/>
                <c:pt idx="0">
                  <c:v>853.8</c:v>
                </c:pt>
                <c:pt idx="1">
                  <c:v>353</c:v>
                </c:pt>
                <c:pt idx="2">
                  <c:v>661.8</c:v>
                </c:pt>
              </c:numCache>
            </c:numRef>
          </c:val>
          <c:extLst>
            <c:ext xmlns:c16="http://schemas.microsoft.com/office/drawing/2014/chart" uri="{C3380CC4-5D6E-409C-BE32-E72D297353CC}">
              <c16:uniqueId val="{00000000-B20E-4D16-A358-5583867D5B06}"/>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193382783056028"/>
          <c:y val="5.9722016615699376E-2"/>
          <c:w val="0.49372227133954971"/>
          <c:h val="0.61671981072995152"/>
        </c:manualLayout>
      </c:layout>
      <c:pieChart>
        <c:varyColors val="1"/>
        <c:ser>
          <c:idx val="0"/>
          <c:order val="0"/>
          <c:dPt>
            <c:idx val="0"/>
            <c:bubble3D val="0"/>
            <c:spPr>
              <a:solidFill>
                <a:srgbClr val="263238"/>
              </a:solidFill>
              <a:ln w="25400">
                <a:noFill/>
              </a:ln>
              <a:effectLst/>
            </c:spPr>
            <c:extLst>
              <c:ext xmlns:c16="http://schemas.microsoft.com/office/drawing/2014/chart" uri="{C3380CC4-5D6E-409C-BE32-E72D297353CC}">
                <c16:uniqueId val="{00000001-A6A6-40AF-8B27-C1330933D7C1}"/>
              </c:ext>
            </c:extLst>
          </c:dPt>
          <c:dPt>
            <c:idx val="1"/>
            <c:bubble3D val="0"/>
            <c:spPr>
              <a:solidFill>
                <a:srgbClr val="F9663E"/>
              </a:solidFill>
              <a:ln w="25400">
                <a:noFill/>
              </a:ln>
              <a:effectLst/>
            </c:spPr>
            <c:extLst>
              <c:ext xmlns:c16="http://schemas.microsoft.com/office/drawing/2014/chart" uri="{C3380CC4-5D6E-409C-BE32-E72D297353CC}">
                <c16:uniqueId val="{00000003-A6A6-40AF-8B27-C1330933D7C1}"/>
              </c:ext>
            </c:extLst>
          </c:dPt>
          <c:dPt>
            <c:idx val="2"/>
            <c:bubble3D val="0"/>
            <c:spPr>
              <a:solidFill>
                <a:srgbClr val="799098"/>
              </a:solidFill>
              <a:ln w="25400">
                <a:noFill/>
              </a:ln>
              <a:effectLst/>
            </c:spPr>
            <c:extLst>
              <c:ext xmlns:c16="http://schemas.microsoft.com/office/drawing/2014/chart" uri="{C3380CC4-5D6E-409C-BE32-E72D297353CC}">
                <c16:uniqueId val="{00000005-A6A6-40AF-8B27-C1330933D7C1}"/>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Helvetica Neue"/>
                    <a:ea typeface="Helvetica Neue"/>
                    <a:cs typeface="Helvetica Neue"/>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Analysis!$B$1160:$B$1162</c:f>
              <c:strCache>
                <c:ptCount val="3"/>
                <c:pt idx="0">
                  <c:v>Credit cards</c:v>
                </c:pt>
                <c:pt idx="1">
                  <c:v>Personal loans</c:v>
                </c:pt>
                <c:pt idx="2">
                  <c:v>Other</c:v>
                </c:pt>
              </c:strCache>
            </c:strRef>
          </c:cat>
          <c:val>
            <c:numRef>
              <c:f>Analysis!$C$1160:$C$1162</c:f>
              <c:numCache>
                <c:formatCode>#,##0</c:formatCode>
                <c:ptCount val="3"/>
                <c:pt idx="0">
                  <c:v>300.43737777777778</c:v>
                </c:pt>
                <c:pt idx="1">
                  <c:v>157.27262222222225</c:v>
                </c:pt>
                <c:pt idx="2">
                  <c:v>367.09</c:v>
                </c:pt>
              </c:numCache>
            </c:numRef>
          </c:val>
          <c:extLst>
            <c:ext xmlns:c16="http://schemas.microsoft.com/office/drawing/2014/chart" uri="{C3380CC4-5D6E-409C-BE32-E72D297353CC}">
              <c16:uniqueId val="{00000006-A6A6-40AF-8B27-C1330933D7C1}"/>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Analysis!$B$1108</c:f>
              <c:strCache>
                <c:ptCount val="1"/>
                <c:pt idx="0">
                  <c:v>NU interest bearing</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C09E-4E62-B4B5-2B6ACAE335E4}"/>
              </c:ext>
            </c:extLst>
          </c:dPt>
          <c:dPt>
            <c:idx val="6"/>
            <c:invertIfNegative val="0"/>
            <c:bubble3D val="0"/>
            <c:spPr>
              <a:solidFill>
                <a:schemeClr val="tx1"/>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32FF-4D0B-B38B-8B36CD2BFC98}"/>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Analysis!$C$1103:$I$1103</c:f>
              <c:strCache>
                <c:ptCount val="7"/>
                <c:pt idx="0">
                  <c:v>Q2 22</c:v>
                </c:pt>
                <c:pt idx="1">
                  <c:v>Q3 22</c:v>
                </c:pt>
                <c:pt idx="2">
                  <c:v>Q4 23</c:v>
                </c:pt>
                <c:pt idx="3">
                  <c:v>Q1 23</c:v>
                </c:pt>
                <c:pt idx="4">
                  <c:v>Q2 23</c:v>
                </c:pt>
                <c:pt idx="5">
                  <c:v>Mexico/Col</c:v>
                </c:pt>
                <c:pt idx="6">
                  <c:v>US/UK</c:v>
                </c:pt>
              </c:strCache>
            </c:strRef>
          </c:cat>
          <c:val>
            <c:numRef>
              <c:f>Analysis!$C$1108:$I$1108</c:f>
              <c:numCache>
                <c:formatCode>0%</c:formatCode>
                <c:ptCount val="7"/>
                <c:pt idx="0">
                  <c:v>0.14000000000000001</c:v>
                </c:pt>
                <c:pt idx="1">
                  <c:v>0.17</c:v>
                </c:pt>
                <c:pt idx="2">
                  <c:v>0.19</c:v>
                </c:pt>
                <c:pt idx="3">
                  <c:v>0.23</c:v>
                </c:pt>
                <c:pt idx="4">
                  <c:v>0.26</c:v>
                </c:pt>
                <c:pt idx="5">
                  <c:v>0.7</c:v>
                </c:pt>
                <c:pt idx="6">
                  <c:v>0.7</c:v>
                </c:pt>
              </c:numCache>
            </c:numRef>
          </c:val>
          <c:extLst>
            <c:ext xmlns:c16="http://schemas.microsoft.com/office/drawing/2014/chart" uri="{C3380CC4-5D6E-409C-BE32-E72D297353CC}">
              <c16:uniqueId val="{00000000-C09E-4E62-B4B5-2B6ACAE335E4}"/>
            </c:ext>
          </c:extLst>
        </c:ser>
        <c:dLbls>
          <c:showLegendKey val="0"/>
          <c:showVal val="0"/>
          <c:showCatName val="0"/>
          <c:showSerName val="0"/>
          <c:showPercent val="0"/>
          <c:showBubbleSize val="0"/>
        </c:dLbls>
        <c:gapWidth val="30"/>
        <c:overlap val="-27"/>
        <c:axId val="102802944"/>
        <c:axId val="110146224"/>
      </c:barChart>
      <c:catAx>
        <c:axId val="1028029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10146224"/>
        <c:crosses val="autoZero"/>
        <c:auto val="1"/>
        <c:lblAlgn val="ctr"/>
        <c:lblOffset val="100"/>
        <c:noMultiLvlLbl val="0"/>
      </c:catAx>
      <c:valAx>
        <c:axId val="110146224"/>
        <c:scaling>
          <c:orientation val="minMax"/>
        </c:scaling>
        <c:delete val="1"/>
        <c:axPos val="l"/>
        <c:numFmt formatCode="0%" sourceLinked="1"/>
        <c:majorTickMark val="out"/>
        <c:minorTickMark val="none"/>
        <c:tickLblPos val="nextTo"/>
        <c:crossAx val="10280294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strRef>
              <c:f>Analysis!$B$12</c:f>
              <c:strCache>
                <c:ptCount val="1"/>
                <c:pt idx="0">
                  <c:v>% of Revenue</c:v>
                </c:pt>
              </c:strCache>
            </c:strRef>
          </c:tx>
          <c:spPr>
            <a:ln w="25400" cap="rnd">
              <a:solidFill>
                <a:srgbClr val="333399"/>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Analysis!$D$1:$F$1</c:f>
              <c:strCache>
                <c:ptCount val="3"/>
                <c:pt idx="0">
                  <c:v>2019</c:v>
                </c:pt>
                <c:pt idx="1">
                  <c:v>2020</c:v>
                </c:pt>
                <c:pt idx="2">
                  <c:v>9m 21</c:v>
                </c:pt>
              </c:strCache>
            </c:strRef>
          </c:cat>
          <c:val>
            <c:numRef>
              <c:f>Analysis!$D$12:$F$12</c:f>
              <c:numCache>
                <c:formatCode>0%</c:formatCode>
                <c:ptCount val="3"/>
                <c:pt idx="0">
                  <c:v>1.3855324633478329E-2</c:v>
                </c:pt>
                <c:pt idx="1">
                  <c:v>5.0128865979381446E-2</c:v>
                </c:pt>
                <c:pt idx="2">
                  <c:v>0.15177478580171358</c:v>
                </c:pt>
              </c:numCache>
            </c:numRef>
          </c:val>
          <c:smooth val="0"/>
          <c:extLst>
            <c:ext xmlns:c16="http://schemas.microsoft.com/office/drawing/2014/chart" uri="{C3380CC4-5D6E-409C-BE32-E72D297353CC}">
              <c16:uniqueId val="{00000001-A3A8-41FF-9AD9-291EA526E3C4}"/>
            </c:ext>
          </c:extLst>
        </c:ser>
        <c:dLbls>
          <c:showLegendKey val="0"/>
          <c:showVal val="0"/>
          <c:showCatName val="0"/>
          <c:showSerName val="0"/>
          <c:showPercent val="0"/>
          <c:showBubbleSize val="0"/>
        </c:dLbls>
        <c:smooth val="0"/>
        <c:axId val="1951156687"/>
        <c:axId val="1951155439"/>
      </c:lineChart>
      <c:catAx>
        <c:axId val="195115668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951155439"/>
        <c:crosses val="autoZero"/>
        <c:auto val="1"/>
        <c:lblAlgn val="ctr"/>
        <c:lblOffset val="100"/>
        <c:noMultiLvlLbl val="0"/>
      </c:catAx>
      <c:valAx>
        <c:axId val="1951155439"/>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951156687"/>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Analysis!$B$962:$B$964</c:f>
              <c:strCache>
                <c:ptCount val="3"/>
                <c:pt idx="0">
                  <c:v>Personal loan</c:v>
                </c:pt>
                <c:pt idx="1">
                  <c:v>Credit card</c:v>
                </c:pt>
                <c:pt idx="2">
                  <c:v>Payroll</c:v>
                </c:pt>
              </c:strCache>
            </c:strRef>
          </c:cat>
          <c:val>
            <c:numRef>
              <c:f>Analysis!$C$962:$C$964</c:f>
              <c:numCache>
                <c:formatCode>0%</c:formatCode>
                <c:ptCount val="3"/>
                <c:pt idx="0">
                  <c:v>1.2</c:v>
                </c:pt>
                <c:pt idx="1">
                  <c:v>0.8</c:v>
                </c:pt>
                <c:pt idx="2">
                  <c:v>0.3</c:v>
                </c:pt>
              </c:numCache>
            </c:numRef>
          </c:val>
          <c:extLst>
            <c:ext xmlns:c16="http://schemas.microsoft.com/office/drawing/2014/chart" uri="{C3380CC4-5D6E-409C-BE32-E72D297353CC}">
              <c16:uniqueId val="{00000000-9CED-48F2-8FB2-1001D2CD42BB}"/>
            </c:ext>
          </c:extLst>
        </c:ser>
        <c:dLbls>
          <c:showLegendKey val="0"/>
          <c:showVal val="0"/>
          <c:showCatName val="0"/>
          <c:showSerName val="0"/>
          <c:showPercent val="0"/>
          <c:showBubbleSize val="0"/>
        </c:dLbls>
        <c:gapWidth val="30"/>
        <c:overlap val="-27"/>
        <c:axId val="98455568"/>
        <c:axId val="110183184"/>
      </c:barChart>
      <c:catAx>
        <c:axId val="9845556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10183184"/>
        <c:crosses val="autoZero"/>
        <c:auto val="1"/>
        <c:lblAlgn val="ctr"/>
        <c:lblOffset val="100"/>
        <c:noMultiLvlLbl val="0"/>
      </c:catAx>
      <c:valAx>
        <c:axId val="110183184"/>
        <c:scaling>
          <c:orientation val="minMax"/>
        </c:scaling>
        <c:delete val="1"/>
        <c:axPos val="l"/>
        <c:numFmt formatCode="0%" sourceLinked="1"/>
        <c:majorTickMark val="out"/>
        <c:minorTickMark val="none"/>
        <c:tickLblPos val="nextTo"/>
        <c:crossAx val="98455568"/>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Analysis!$B$1171:$B$1178</c:f>
              <c:strCache>
                <c:ptCount val="8"/>
                <c:pt idx="0">
                  <c:v>NU</c:v>
                </c:pt>
                <c:pt idx="1">
                  <c:v>DLO </c:v>
                </c:pt>
                <c:pt idx="2">
                  <c:v>MELI</c:v>
                </c:pt>
                <c:pt idx="3">
                  <c:v>STNE</c:v>
                </c:pt>
                <c:pt idx="4">
                  <c:v>ADYEN</c:v>
                </c:pt>
                <c:pt idx="5">
                  <c:v>WLN</c:v>
                </c:pt>
                <c:pt idx="6">
                  <c:v>NEXI</c:v>
                </c:pt>
                <c:pt idx="7">
                  <c:v>PAGS</c:v>
                </c:pt>
              </c:strCache>
            </c:strRef>
          </c:cat>
          <c:val>
            <c:numRef>
              <c:f>Analysis!$C$1171:$C$1178</c:f>
              <c:numCache>
                <c:formatCode>0%</c:formatCode>
                <c:ptCount val="8"/>
                <c:pt idx="0">
                  <c:v>0.63498201851710134</c:v>
                </c:pt>
                <c:pt idx="1">
                  <c:v>0.48</c:v>
                </c:pt>
                <c:pt idx="2">
                  <c:v>0.36</c:v>
                </c:pt>
                <c:pt idx="3">
                  <c:v>0.23</c:v>
                </c:pt>
                <c:pt idx="4">
                  <c:v>0.16</c:v>
                </c:pt>
                <c:pt idx="5">
                  <c:v>8.5000000000000006E-2</c:v>
                </c:pt>
                <c:pt idx="6">
                  <c:v>7.0000000000000007E-2</c:v>
                </c:pt>
                <c:pt idx="7">
                  <c:v>-0.03</c:v>
                </c:pt>
              </c:numCache>
            </c:numRef>
          </c:val>
          <c:extLst>
            <c:ext xmlns:c16="http://schemas.microsoft.com/office/drawing/2014/chart" uri="{C3380CC4-5D6E-409C-BE32-E72D297353CC}">
              <c16:uniqueId val="{00000000-E6CF-4AEB-B439-6E912A9908A3}"/>
            </c:ext>
          </c:extLst>
        </c:ser>
        <c:dLbls>
          <c:showLegendKey val="0"/>
          <c:showVal val="0"/>
          <c:showCatName val="0"/>
          <c:showSerName val="0"/>
          <c:showPercent val="0"/>
          <c:showBubbleSize val="0"/>
        </c:dLbls>
        <c:gapWidth val="30"/>
        <c:overlap val="-27"/>
        <c:axId val="1844654144"/>
        <c:axId val="445124832"/>
      </c:barChart>
      <c:catAx>
        <c:axId val="1844654144"/>
        <c:scaling>
          <c:orientation val="minMax"/>
        </c:scaling>
        <c:delete val="0"/>
        <c:axPos val="b"/>
        <c:numFmt formatCode="General" sourceLinked="1"/>
        <c:majorTickMark val="out"/>
        <c:minorTickMark val="none"/>
        <c:tickLblPos val="low"/>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445124832"/>
        <c:crosses val="autoZero"/>
        <c:auto val="1"/>
        <c:lblAlgn val="ctr"/>
        <c:lblOffset val="100"/>
        <c:noMultiLvlLbl val="0"/>
      </c:catAx>
      <c:valAx>
        <c:axId val="445124832"/>
        <c:scaling>
          <c:orientation val="minMax"/>
        </c:scaling>
        <c:delete val="1"/>
        <c:axPos val="l"/>
        <c:numFmt formatCode="0%" sourceLinked="1"/>
        <c:majorTickMark val="out"/>
        <c:minorTickMark val="none"/>
        <c:tickLblPos val="nextTo"/>
        <c:crossAx val="1844654144"/>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spPr>
            <a:solidFill>
              <a:srgbClr val="263238"/>
            </a:solidFill>
            <a:ln>
              <a:noFill/>
            </a:ln>
            <a:effectLst/>
            <a:extLst>
              <a:ext uri="{91240B29-F687-4F45-9708-019B960494DF}">
                <a14:hiddenLine xmlns:a14="http://schemas.microsoft.com/office/drawing/2010/main">
                  <a:noFill/>
                </a14:hiddenLine>
              </a:ext>
            </a:extLst>
          </c:spPr>
          <c:invertIfNegative val="0"/>
          <c:dPt>
            <c:idx val="1"/>
            <c:invertIfNegative val="0"/>
            <c:bubble3D val="0"/>
            <c:spPr>
              <a:no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2-A8CF-459A-8927-582F530DA239}"/>
              </c:ext>
            </c:extLst>
          </c:dPt>
          <c:dPt>
            <c:idx val="2"/>
            <c:invertIfNegative val="0"/>
            <c:bubble3D val="0"/>
            <c:spPr>
              <a:no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A8CF-459A-8927-582F530DA239}"/>
              </c:ext>
            </c:extLst>
          </c:dPt>
          <c:dPt>
            <c:idx val="3"/>
            <c:invertIfNegative val="0"/>
            <c:bubble3D val="0"/>
            <c:spPr>
              <a:no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4-A8CF-459A-8927-582F530DA239}"/>
              </c:ext>
            </c:extLst>
          </c:dPt>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Analysis!$B$1203:$B$1207</c:f>
              <c:strCache>
                <c:ptCount val="5"/>
                <c:pt idx="0">
                  <c:v>Revolving loan</c:v>
                </c:pt>
                <c:pt idx="1">
                  <c:v>Month 1 (13.5%)</c:v>
                </c:pt>
                <c:pt idx="2">
                  <c:v>Months 2-6 (9%)</c:v>
                </c:pt>
                <c:pt idx="3">
                  <c:v>Late fees </c:v>
                </c:pt>
                <c:pt idx="4">
                  <c:v>Cap</c:v>
                </c:pt>
              </c:strCache>
            </c:strRef>
          </c:cat>
          <c:val>
            <c:numRef>
              <c:f>Analysis!$C$1203:$C$1207</c:f>
              <c:numCache>
                <c:formatCode>General</c:formatCode>
                <c:ptCount val="5"/>
                <c:pt idx="0">
                  <c:v>100</c:v>
                </c:pt>
                <c:pt idx="1">
                  <c:v>100</c:v>
                </c:pt>
                <c:pt idx="2" formatCode="0">
                  <c:v>107.65</c:v>
                </c:pt>
                <c:pt idx="3" formatCode="0">
                  <c:v>165.63286874498505</c:v>
                </c:pt>
                <c:pt idx="4" formatCode="0">
                  <c:v>190.63286874498505</c:v>
                </c:pt>
              </c:numCache>
            </c:numRef>
          </c:val>
          <c:extLst>
            <c:ext xmlns:c16="http://schemas.microsoft.com/office/drawing/2014/chart" uri="{C3380CC4-5D6E-409C-BE32-E72D297353CC}">
              <c16:uniqueId val="{00000000-A8CF-459A-8927-582F530DA239}"/>
            </c:ext>
          </c:extLst>
        </c:ser>
        <c:ser>
          <c:idx val="1"/>
          <c:order val="1"/>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Analysis!$B$1203:$B$1207</c:f>
              <c:strCache>
                <c:ptCount val="5"/>
                <c:pt idx="0">
                  <c:v>Revolving loan</c:v>
                </c:pt>
                <c:pt idx="1">
                  <c:v>Month 1 (13.5%)</c:v>
                </c:pt>
                <c:pt idx="2">
                  <c:v>Months 2-6 (9%)</c:v>
                </c:pt>
                <c:pt idx="3">
                  <c:v>Late fees </c:v>
                </c:pt>
                <c:pt idx="4">
                  <c:v>Cap</c:v>
                </c:pt>
              </c:strCache>
            </c:strRef>
          </c:cat>
          <c:val>
            <c:numRef>
              <c:f>Analysis!$D$1203:$D$1207</c:f>
              <c:numCache>
                <c:formatCode>0</c:formatCode>
                <c:ptCount val="5"/>
                <c:pt idx="1">
                  <c:v>7.6500000000000057</c:v>
                </c:pt>
                <c:pt idx="2">
                  <c:v>57.982868744985041</c:v>
                </c:pt>
                <c:pt idx="3" formatCode="General">
                  <c:v>25</c:v>
                </c:pt>
              </c:numCache>
            </c:numRef>
          </c:val>
          <c:extLst>
            <c:ext xmlns:c16="http://schemas.microsoft.com/office/drawing/2014/chart" uri="{C3380CC4-5D6E-409C-BE32-E72D297353CC}">
              <c16:uniqueId val="{00000001-A8CF-459A-8927-582F530DA239}"/>
            </c:ext>
          </c:extLst>
        </c:ser>
        <c:dLbls>
          <c:showLegendKey val="0"/>
          <c:showVal val="0"/>
          <c:showCatName val="0"/>
          <c:showSerName val="0"/>
          <c:showPercent val="0"/>
          <c:showBubbleSize val="0"/>
        </c:dLbls>
        <c:gapWidth val="30"/>
        <c:overlap val="100"/>
        <c:axId val="2046877792"/>
        <c:axId val="445047552"/>
      </c:barChart>
      <c:catAx>
        <c:axId val="204687779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445047552"/>
        <c:crosses val="autoZero"/>
        <c:auto val="1"/>
        <c:lblAlgn val="ctr"/>
        <c:lblOffset val="100"/>
        <c:noMultiLvlLbl val="0"/>
      </c:catAx>
      <c:valAx>
        <c:axId val="445047552"/>
        <c:scaling>
          <c:orientation val="minMax"/>
        </c:scaling>
        <c:delete val="1"/>
        <c:axPos val="l"/>
        <c:numFmt formatCode="General" sourceLinked="1"/>
        <c:majorTickMark val="out"/>
        <c:minorTickMark val="none"/>
        <c:tickLblPos val="nextTo"/>
        <c:crossAx val="204687779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Analysis!$B$1226</c:f>
              <c:strCache>
                <c:ptCount val="1"/>
                <c:pt idx="0">
                  <c:v>TAM today, $</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Analysis!$C$1225:$E$1225</c:f>
              <c:strCache>
                <c:ptCount val="3"/>
                <c:pt idx="0">
                  <c:v>CC</c:v>
                </c:pt>
                <c:pt idx="1">
                  <c:v>Personal loans</c:v>
                </c:pt>
                <c:pt idx="2">
                  <c:v>Payroll</c:v>
                </c:pt>
              </c:strCache>
            </c:strRef>
          </c:cat>
          <c:val>
            <c:numRef>
              <c:f>Analysis!$C$1226:$E$1226</c:f>
              <c:numCache>
                <c:formatCode>General</c:formatCode>
                <c:ptCount val="3"/>
                <c:pt idx="0">
                  <c:v>100</c:v>
                </c:pt>
                <c:pt idx="1">
                  <c:v>40</c:v>
                </c:pt>
                <c:pt idx="2">
                  <c:v>120</c:v>
                </c:pt>
              </c:numCache>
            </c:numRef>
          </c:val>
          <c:extLst>
            <c:ext xmlns:c16="http://schemas.microsoft.com/office/drawing/2014/chart" uri="{C3380CC4-5D6E-409C-BE32-E72D297353CC}">
              <c16:uniqueId val="{00000000-46E9-4F43-9EE8-A943ADED87FB}"/>
            </c:ext>
          </c:extLst>
        </c:ser>
        <c:dLbls>
          <c:showLegendKey val="0"/>
          <c:showVal val="0"/>
          <c:showCatName val="0"/>
          <c:showSerName val="0"/>
          <c:showPercent val="0"/>
          <c:showBubbleSize val="0"/>
        </c:dLbls>
        <c:gapWidth val="30"/>
        <c:overlap val="-27"/>
        <c:axId val="98460208"/>
        <c:axId val="445054272"/>
      </c:barChart>
      <c:lineChart>
        <c:grouping val="standard"/>
        <c:varyColors val="0"/>
        <c:ser>
          <c:idx val="1"/>
          <c:order val="1"/>
          <c:tx>
            <c:strRef>
              <c:f>Analysis!$B$1231</c:f>
              <c:strCache>
                <c:ptCount val="1"/>
                <c:pt idx="0">
                  <c:v>Market share</c:v>
                </c:pt>
              </c:strCache>
            </c:strRef>
          </c:tx>
          <c:spPr>
            <a:ln w="28575" cap="rnd">
              <a:noFill/>
              <a:round/>
            </a:ln>
            <a:effectLst/>
          </c:spPr>
          <c:marker>
            <c:symbol val="square"/>
            <c:size val="21"/>
            <c:spPr>
              <a:solidFill>
                <a:schemeClr val="accent2"/>
              </a:solidFill>
              <a:ln w="952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Analysis!$C$1225:$E$1225</c:f>
              <c:strCache>
                <c:ptCount val="3"/>
                <c:pt idx="0">
                  <c:v>CC</c:v>
                </c:pt>
                <c:pt idx="1">
                  <c:v>Personal loans</c:v>
                </c:pt>
                <c:pt idx="2">
                  <c:v>Payroll</c:v>
                </c:pt>
              </c:strCache>
            </c:strRef>
          </c:cat>
          <c:val>
            <c:numRef>
              <c:f>Analysis!$C$1231:$E$1231</c:f>
              <c:numCache>
                <c:formatCode>0%</c:formatCode>
                <c:ptCount val="3"/>
                <c:pt idx="0">
                  <c:v>0.10495499999999999</c:v>
                </c:pt>
                <c:pt idx="1">
                  <c:v>6.7249450000000002E-2</c:v>
                </c:pt>
                <c:pt idx="2">
                  <c:v>0</c:v>
                </c:pt>
              </c:numCache>
            </c:numRef>
          </c:val>
          <c:smooth val="0"/>
          <c:extLst>
            <c:ext xmlns:c16="http://schemas.microsoft.com/office/drawing/2014/chart" uri="{C3380CC4-5D6E-409C-BE32-E72D297353CC}">
              <c16:uniqueId val="{00000001-46E9-4F43-9EE8-A943ADED87FB}"/>
            </c:ext>
          </c:extLst>
        </c:ser>
        <c:dLbls>
          <c:showLegendKey val="0"/>
          <c:showVal val="0"/>
          <c:showCatName val="0"/>
          <c:showSerName val="0"/>
          <c:showPercent val="0"/>
          <c:showBubbleSize val="0"/>
        </c:dLbls>
        <c:marker val="1"/>
        <c:smooth val="0"/>
        <c:axId val="98489440"/>
        <c:axId val="445059072"/>
      </c:lineChart>
      <c:catAx>
        <c:axId val="9846020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445054272"/>
        <c:crosses val="autoZero"/>
        <c:auto val="1"/>
        <c:lblAlgn val="ctr"/>
        <c:lblOffset val="100"/>
        <c:noMultiLvlLbl val="0"/>
      </c:catAx>
      <c:valAx>
        <c:axId val="445054272"/>
        <c:scaling>
          <c:orientation val="minMax"/>
        </c:scaling>
        <c:delete val="0"/>
        <c:axPos val="l"/>
        <c:numFmt formatCode="General"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98460208"/>
        <c:crosses val="autoZero"/>
        <c:crossBetween val="between"/>
      </c:valAx>
      <c:valAx>
        <c:axId val="44505907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98489440"/>
        <c:crosses val="max"/>
        <c:crossBetween val="between"/>
      </c:valAx>
      <c:catAx>
        <c:axId val="98489440"/>
        <c:scaling>
          <c:orientation val="minMax"/>
        </c:scaling>
        <c:delete val="1"/>
        <c:axPos val="b"/>
        <c:numFmt formatCode="General" sourceLinked="1"/>
        <c:majorTickMark val="out"/>
        <c:minorTickMark val="none"/>
        <c:tickLblPos val="nextTo"/>
        <c:crossAx val="445059072"/>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512495051120192"/>
          <c:y val="8.6757072032662585E-2"/>
          <c:w val="0.35715414044672217"/>
          <c:h val="0.65441673957421975"/>
        </c:manualLayout>
      </c:layout>
      <c:pieChart>
        <c:varyColors val="1"/>
        <c:ser>
          <c:idx val="0"/>
          <c:order val="0"/>
          <c:dPt>
            <c:idx val="0"/>
            <c:bubble3D val="0"/>
            <c:explosion val="12"/>
            <c:spPr>
              <a:solidFill>
                <a:schemeClr val="accent1">
                  <a:lumMod val="20000"/>
                  <a:lumOff val="80000"/>
                </a:schemeClr>
              </a:solidFill>
              <a:ln w="25400">
                <a:noFill/>
              </a:ln>
              <a:effectLst/>
            </c:spPr>
            <c:extLst>
              <c:ext xmlns:c16="http://schemas.microsoft.com/office/drawing/2014/chart" uri="{C3380CC4-5D6E-409C-BE32-E72D297353CC}">
                <c16:uniqueId val="{00000001-99C8-4AE9-8738-48441DA786EA}"/>
              </c:ext>
            </c:extLst>
          </c:dPt>
          <c:dPt>
            <c:idx val="1"/>
            <c:bubble3D val="0"/>
            <c:explosion val="11"/>
            <c:spPr>
              <a:solidFill>
                <a:schemeClr val="accent1">
                  <a:lumMod val="60000"/>
                  <a:lumOff val="40000"/>
                </a:schemeClr>
              </a:solidFill>
              <a:ln w="25400">
                <a:noFill/>
              </a:ln>
              <a:effectLst/>
            </c:spPr>
            <c:extLst>
              <c:ext xmlns:c16="http://schemas.microsoft.com/office/drawing/2014/chart" uri="{C3380CC4-5D6E-409C-BE32-E72D297353CC}">
                <c16:uniqueId val="{00000002-99C8-4AE9-8738-48441DA786EA}"/>
              </c:ext>
            </c:extLst>
          </c:dPt>
          <c:dPt>
            <c:idx val="2"/>
            <c:bubble3D val="0"/>
            <c:explosion val="13"/>
            <c:spPr>
              <a:solidFill>
                <a:schemeClr val="accent1"/>
              </a:solidFill>
              <a:ln w="25400">
                <a:noFill/>
              </a:ln>
              <a:effectLst/>
            </c:spPr>
            <c:extLst>
              <c:ext xmlns:c16="http://schemas.microsoft.com/office/drawing/2014/chart" uri="{C3380CC4-5D6E-409C-BE32-E72D297353CC}">
                <c16:uniqueId val="{00000003-99C8-4AE9-8738-48441DA786EA}"/>
              </c:ext>
            </c:extLst>
          </c:dPt>
          <c:dPt>
            <c:idx val="3"/>
            <c:bubble3D val="0"/>
            <c:spPr>
              <a:solidFill>
                <a:srgbClr val="F9663E"/>
              </a:solidFill>
              <a:ln w="25400">
                <a:noFill/>
              </a:ln>
              <a:effectLst/>
            </c:spPr>
            <c:extLst>
              <c:ext xmlns:c16="http://schemas.microsoft.com/office/drawing/2014/chart" uri="{C3380CC4-5D6E-409C-BE32-E72D297353CC}">
                <c16:uniqueId val="{00000004-99C8-4AE9-8738-48441DA786EA}"/>
              </c:ext>
            </c:extLst>
          </c:dPt>
          <c:dPt>
            <c:idx val="4"/>
            <c:bubble3D val="0"/>
            <c:spPr>
              <a:solidFill>
                <a:srgbClr val="799098"/>
              </a:solidFill>
              <a:ln w="25400">
                <a:noFill/>
              </a:ln>
              <a:effectLst/>
            </c:spPr>
            <c:extLst>
              <c:ext xmlns:c16="http://schemas.microsoft.com/office/drawing/2014/chart" uri="{C3380CC4-5D6E-409C-BE32-E72D297353CC}">
                <c16:uniqueId val="{00000005-99C8-4AE9-8738-48441DA786EA}"/>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Helvetica Neue"/>
                    <a:ea typeface="Helvetica Neue"/>
                    <a:cs typeface="Helvetica Neue"/>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Analysis!$I$1127:$I$1131</c:f>
              <c:strCache>
                <c:ptCount val="5"/>
                <c:pt idx="0">
                  <c:v>Interest income</c:v>
                </c:pt>
                <c:pt idx="1">
                  <c:v>Interchange (credit cards only)</c:v>
                </c:pt>
                <c:pt idx="2">
                  <c:v>Late fees</c:v>
                </c:pt>
                <c:pt idx="3">
                  <c:v>Personal loans</c:v>
                </c:pt>
                <c:pt idx="4">
                  <c:v>Other (including interest on securities)</c:v>
                </c:pt>
              </c:strCache>
            </c:strRef>
          </c:cat>
          <c:val>
            <c:numRef>
              <c:f>Analysis!$J$1127:$J$1131</c:f>
              <c:numCache>
                <c:formatCode>0</c:formatCode>
                <c:ptCount val="5"/>
                <c:pt idx="0">
                  <c:v>594</c:v>
                </c:pt>
                <c:pt idx="1">
                  <c:v>216.8</c:v>
                </c:pt>
                <c:pt idx="2">
                  <c:v>43</c:v>
                </c:pt>
                <c:pt idx="3">
                  <c:v>353</c:v>
                </c:pt>
                <c:pt idx="4">
                  <c:v>661.8</c:v>
                </c:pt>
              </c:numCache>
            </c:numRef>
          </c:val>
          <c:extLst>
            <c:ext xmlns:c16="http://schemas.microsoft.com/office/drawing/2014/chart" uri="{C3380CC4-5D6E-409C-BE32-E72D297353CC}">
              <c16:uniqueId val="{00000000-99C8-4AE9-8738-48441DA786EA}"/>
            </c:ext>
          </c:extLst>
        </c:ser>
        <c:dLbls>
          <c:showLegendKey val="0"/>
          <c:showVal val="0"/>
          <c:showCatName val="0"/>
          <c:showSerName val="0"/>
          <c:showPercent val="0"/>
          <c:showBubbleSize val="0"/>
          <c:showLeaderLines val="1"/>
        </c:dLbls>
        <c:firstSliceAng val="0"/>
      </c:pieChart>
      <c:spPr>
        <a:noFill/>
        <a:ln w="25400">
          <a:noFill/>
        </a:ln>
        <a:effectLst/>
      </c:spPr>
    </c:plotArea>
    <c:legend>
      <c:legendPos val="b"/>
      <c:layout>
        <c:manualLayout>
          <c:xMode val="edge"/>
          <c:yMode val="edge"/>
          <c:x val="0"/>
          <c:y val="0.82793088363954503"/>
          <c:w val="1"/>
          <c:h val="0.1674394867308253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Analysis!$B$1299</c:f>
              <c:strCache>
                <c:ptCount val="1"/>
                <c:pt idx="0">
                  <c:v>Credit cards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cat>
            <c:strRef>
              <c:f>Analysis!$C$1298:$N$1298</c:f>
              <c:strCache>
                <c:ptCount val="12"/>
                <c:pt idx="0">
                  <c:v>Q1 22</c:v>
                </c:pt>
                <c:pt idx="1">
                  <c:v>Q2 22</c:v>
                </c:pt>
                <c:pt idx="2">
                  <c:v>Q3 22</c:v>
                </c:pt>
                <c:pt idx="3">
                  <c:v>Q4 22</c:v>
                </c:pt>
                <c:pt idx="4">
                  <c:v>Q1 23</c:v>
                </c:pt>
                <c:pt idx="5">
                  <c:v>Q2 23</c:v>
                </c:pt>
                <c:pt idx="6">
                  <c:v>Q3 23</c:v>
                </c:pt>
                <c:pt idx="7">
                  <c:v>#REF!</c:v>
                </c:pt>
                <c:pt idx="8">
                  <c:v>Q1 24</c:v>
                </c:pt>
                <c:pt idx="9">
                  <c:v>#REF!</c:v>
                </c:pt>
                <c:pt idx="10">
                  <c:v>Q3 24E</c:v>
                </c:pt>
                <c:pt idx="11">
                  <c:v>Q4 24E</c:v>
                </c:pt>
              </c:strCache>
            </c:strRef>
          </c:cat>
          <c:val>
            <c:numRef>
              <c:f>Analysis!$C$1299:$N$1299</c:f>
              <c:numCache>
                <c:formatCode>#,##0</c:formatCode>
                <c:ptCount val="12"/>
                <c:pt idx="0">
                  <c:v>2894.0481</c:v>
                </c:pt>
                <c:pt idx="1">
                  <c:v>4527.5922000000028</c:v>
                </c:pt>
                <c:pt idx="2">
                  <c:v>3766.4801939999961</c:v>
                </c:pt>
                <c:pt idx="3">
                  <c:v>5627.0076060000065</c:v>
                </c:pt>
                <c:pt idx="4">
                  <c:v>2869.2399999999907</c:v>
                </c:pt>
                <c:pt idx="5">
                  <c:v>3419.0400000000009</c:v>
                </c:pt>
                <c:pt idx="6">
                  <c:v>3138.8000000000029</c:v>
                </c:pt>
                <c:pt idx="7">
                  <c:v>0</c:v>
                </c:pt>
                <c:pt idx="8">
                  <c:v>3779.4270000000033</c:v>
                </c:pt>
                <c:pt idx="9">
                  <c:v>3750</c:v>
                </c:pt>
                <c:pt idx="10">
                  <c:v>4000</c:v>
                </c:pt>
                <c:pt idx="11">
                  <c:v>4756.6861960663955</c:v>
                </c:pt>
              </c:numCache>
            </c:numRef>
          </c:val>
          <c:extLst>
            <c:ext xmlns:c16="http://schemas.microsoft.com/office/drawing/2014/chart" uri="{C3380CC4-5D6E-409C-BE32-E72D297353CC}">
              <c16:uniqueId val="{00000000-F890-46C2-95CA-FBB2EC856474}"/>
            </c:ext>
          </c:extLst>
        </c:ser>
        <c:ser>
          <c:idx val="1"/>
          <c:order val="1"/>
          <c:tx>
            <c:strRef>
              <c:f>Analysis!$B$1300</c:f>
              <c:strCache>
                <c:ptCount val="1"/>
                <c:pt idx="0">
                  <c:v>Personal loans</c:v>
                </c:pt>
              </c:strCache>
            </c:strRef>
          </c:tx>
          <c:spPr>
            <a:solidFill>
              <a:srgbClr val="F9663E"/>
            </a:solidFill>
            <a:ln>
              <a:noFill/>
            </a:ln>
            <a:effectLst/>
            <a:extLst>
              <a:ext uri="{91240B29-F687-4F45-9708-019B960494DF}">
                <a14:hiddenLine xmlns:a14="http://schemas.microsoft.com/office/drawing/2010/main">
                  <a:noFill/>
                </a14:hiddenLine>
              </a:ext>
            </a:extLst>
          </c:spPr>
          <c:invertIfNegative val="0"/>
          <c:cat>
            <c:strRef>
              <c:f>Analysis!$C$1298:$N$1298</c:f>
              <c:strCache>
                <c:ptCount val="12"/>
                <c:pt idx="0">
                  <c:v>Q1 22</c:v>
                </c:pt>
                <c:pt idx="1">
                  <c:v>Q2 22</c:v>
                </c:pt>
                <c:pt idx="2">
                  <c:v>Q3 22</c:v>
                </c:pt>
                <c:pt idx="3">
                  <c:v>Q4 22</c:v>
                </c:pt>
                <c:pt idx="4">
                  <c:v>Q1 23</c:v>
                </c:pt>
                <c:pt idx="5">
                  <c:v>Q2 23</c:v>
                </c:pt>
                <c:pt idx="6">
                  <c:v>Q3 23</c:v>
                </c:pt>
                <c:pt idx="7">
                  <c:v>#REF!</c:v>
                </c:pt>
                <c:pt idx="8">
                  <c:v>Q1 24</c:v>
                </c:pt>
                <c:pt idx="9">
                  <c:v>#REF!</c:v>
                </c:pt>
                <c:pt idx="10">
                  <c:v>Q3 24E</c:v>
                </c:pt>
                <c:pt idx="11">
                  <c:v>Q4 24E</c:v>
                </c:pt>
              </c:strCache>
            </c:strRef>
          </c:cat>
          <c:val>
            <c:numRef>
              <c:f>Analysis!$C$1300:$N$1300</c:f>
              <c:numCache>
                <c:formatCode>#,##0</c:formatCode>
                <c:ptCount val="12"/>
                <c:pt idx="0">
                  <c:v>1239.5584020000006</c:v>
                </c:pt>
                <c:pt idx="1">
                  <c:v>913.00175999999919</c:v>
                </c:pt>
                <c:pt idx="2">
                  <c:v>-132.96663249999983</c:v>
                </c:pt>
                <c:pt idx="3">
                  <c:v>151.82487250000122</c:v>
                </c:pt>
                <c:pt idx="4">
                  <c:v>1387.7599999999984</c:v>
                </c:pt>
                <c:pt idx="5">
                  <c:v>1432.8700000000008</c:v>
                </c:pt>
                <c:pt idx="6">
                  <c:v>1903.4191200000005</c:v>
                </c:pt>
                <c:pt idx="7">
                  <c:v>0</c:v>
                </c:pt>
                <c:pt idx="8">
                  <c:v>3796.9199999999983</c:v>
                </c:pt>
                <c:pt idx="9">
                  <c:v>0</c:v>
                </c:pt>
                <c:pt idx="10">
                  <c:v>3000</c:v>
                </c:pt>
                <c:pt idx="11">
                  <c:v>2731.0555542172551</c:v>
                </c:pt>
              </c:numCache>
            </c:numRef>
          </c:val>
          <c:extLst>
            <c:ext xmlns:c16="http://schemas.microsoft.com/office/drawing/2014/chart" uri="{C3380CC4-5D6E-409C-BE32-E72D297353CC}">
              <c16:uniqueId val="{00000001-F890-46C2-95CA-FBB2EC856474}"/>
            </c:ext>
          </c:extLst>
        </c:ser>
        <c:ser>
          <c:idx val="2"/>
          <c:order val="2"/>
          <c:tx>
            <c:strRef>
              <c:f>Analysis!$B$1301</c:f>
              <c:strCache>
                <c:ptCount val="1"/>
                <c:pt idx="0">
                  <c:v>Payroll</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cat>
            <c:strRef>
              <c:f>Analysis!$C$1298:$N$1298</c:f>
              <c:strCache>
                <c:ptCount val="12"/>
                <c:pt idx="0">
                  <c:v>Q1 22</c:v>
                </c:pt>
                <c:pt idx="1">
                  <c:v>Q2 22</c:v>
                </c:pt>
                <c:pt idx="2">
                  <c:v>Q3 22</c:v>
                </c:pt>
                <c:pt idx="3">
                  <c:v>Q4 22</c:v>
                </c:pt>
                <c:pt idx="4">
                  <c:v>Q1 23</c:v>
                </c:pt>
                <c:pt idx="5">
                  <c:v>Q2 23</c:v>
                </c:pt>
                <c:pt idx="6">
                  <c:v>Q3 23</c:v>
                </c:pt>
                <c:pt idx="7">
                  <c:v>#REF!</c:v>
                </c:pt>
                <c:pt idx="8">
                  <c:v>Q1 24</c:v>
                </c:pt>
                <c:pt idx="9">
                  <c:v>#REF!</c:v>
                </c:pt>
                <c:pt idx="10">
                  <c:v>Q3 24E</c:v>
                </c:pt>
                <c:pt idx="11">
                  <c:v>Q4 24E</c:v>
                </c:pt>
              </c:strCache>
            </c:strRef>
          </c:cat>
          <c:val>
            <c:numRef>
              <c:f>Analysis!$C$1301:$N$1301</c:f>
              <c:numCache>
                <c:formatCode>#,##0</c:formatCode>
                <c:ptCount val="12"/>
                <c:pt idx="0">
                  <c:v>0</c:v>
                </c:pt>
                <c:pt idx="1">
                  <c:v>0</c:v>
                </c:pt>
                <c:pt idx="2">
                  <c:v>0</c:v>
                </c:pt>
                <c:pt idx="3">
                  <c:v>0</c:v>
                </c:pt>
                <c:pt idx="4">
                  <c:v>0</c:v>
                </c:pt>
                <c:pt idx="5">
                  <c:v>0</c:v>
                </c:pt>
                <c:pt idx="6">
                  <c:v>0</c:v>
                </c:pt>
                <c:pt idx="7">
                  <c:v>0</c:v>
                </c:pt>
                <c:pt idx="8">
                  <c:v>0</c:v>
                </c:pt>
                <c:pt idx="9">
                  <c:v>0</c:v>
                </c:pt>
                <c:pt idx="10">
                  <c:v>350</c:v>
                </c:pt>
                <c:pt idx="11">
                  <c:v>531.29552715654938</c:v>
                </c:pt>
              </c:numCache>
            </c:numRef>
          </c:val>
          <c:extLst>
            <c:ext xmlns:c16="http://schemas.microsoft.com/office/drawing/2014/chart" uri="{C3380CC4-5D6E-409C-BE32-E72D297353CC}">
              <c16:uniqueId val="{00000002-F890-46C2-95CA-FBB2EC856474}"/>
            </c:ext>
          </c:extLst>
        </c:ser>
        <c:ser>
          <c:idx val="3"/>
          <c:order val="3"/>
          <c:tx>
            <c:strRef>
              <c:f>Analysis!$B$1302</c:f>
              <c:strCache>
                <c:ptCount val="1"/>
                <c:pt idx="0">
                  <c:v>Accounting change on CC</c:v>
                </c:pt>
              </c:strCache>
            </c:strRef>
          </c:tx>
          <c:spPr>
            <a:solidFill>
              <a:schemeClr val="bg1"/>
            </a:solidFill>
            <a:ln w="19050">
              <a:solidFill>
                <a:schemeClr val="tx1"/>
              </a:solidFill>
              <a:prstDash val="dash"/>
            </a:ln>
            <a:effectLst/>
          </c:spPr>
          <c:invertIfNegative val="0"/>
          <c:cat>
            <c:strRef>
              <c:f>Analysis!$C$1298:$N$1298</c:f>
              <c:strCache>
                <c:ptCount val="12"/>
                <c:pt idx="0">
                  <c:v>Q1 22</c:v>
                </c:pt>
                <c:pt idx="1">
                  <c:v>Q2 22</c:v>
                </c:pt>
                <c:pt idx="2">
                  <c:v>Q3 22</c:v>
                </c:pt>
                <c:pt idx="3">
                  <c:v>Q4 22</c:v>
                </c:pt>
                <c:pt idx="4">
                  <c:v>Q1 23</c:v>
                </c:pt>
                <c:pt idx="5">
                  <c:v>Q2 23</c:v>
                </c:pt>
                <c:pt idx="6">
                  <c:v>Q3 23</c:v>
                </c:pt>
                <c:pt idx="7">
                  <c:v>#REF!</c:v>
                </c:pt>
                <c:pt idx="8">
                  <c:v>Q1 24</c:v>
                </c:pt>
                <c:pt idx="9">
                  <c:v>#REF!</c:v>
                </c:pt>
                <c:pt idx="10">
                  <c:v>Q3 24E</c:v>
                </c:pt>
                <c:pt idx="11">
                  <c:v>Q4 24E</c:v>
                </c:pt>
              </c:strCache>
            </c:strRef>
          </c:cat>
          <c:val>
            <c:numRef>
              <c:f>Analysis!$C$1302:$N$1302</c:f>
              <c:numCache>
                <c:formatCode>General</c:formatCode>
                <c:ptCount val="12"/>
                <c:pt idx="6" formatCode="0">
                  <c:v>875</c:v>
                </c:pt>
              </c:numCache>
            </c:numRef>
          </c:val>
          <c:extLst>
            <c:ext xmlns:c16="http://schemas.microsoft.com/office/drawing/2014/chart" uri="{C3380CC4-5D6E-409C-BE32-E72D297353CC}">
              <c16:uniqueId val="{00000003-F890-46C2-95CA-FBB2EC856474}"/>
            </c:ext>
          </c:extLst>
        </c:ser>
        <c:dLbls>
          <c:showLegendKey val="0"/>
          <c:showVal val="0"/>
          <c:showCatName val="0"/>
          <c:showSerName val="0"/>
          <c:showPercent val="0"/>
          <c:showBubbleSize val="0"/>
        </c:dLbls>
        <c:gapWidth val="30"/>
        <c:overlap val="100"/>
        <c:axId val="830283103"/>
        <c:axId val="766505167"/>
      </c:barChart>
      <c:catAx>
        <c:axId val="830283103"/>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766505167"/>
        <c:crosses val="autoZero"/>
        <c:auto val="1"/>
        <c:lblAlgn val="ctr"/>
        <c:lblOffset val="100"/>
        <c:noMultiLvlLbl val="0"/>
      </c:catAx>
      <c:valAx>
        <c:axId val="766505167"/>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83028310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Analysis!$B$1341</c:f>
              <c:strCache>
                <c:ptCount val="1"/>
                <c:pt idx="0">
                  <c:v>Credit portfolio</c:v>
                </c:pt>
              </c:strCache>
            </c:strRef>
          </c:tx>
          <c:spPr>
            <a:solidFill>
              <a:schemeClr val="accent6">
                <a:lumMod val="60000"/>
                <a:lumOff val="40000"/>
              </a:schemeClr>
            </a:solidFill>
            <a:ln>
              <a:noFill/>
            </a:ln>
            <a:effectLst/>
            <a:extLst>
              <a:ext uri="{91240B29-F687-4F45-9708-019B960494DF}">
                <a14:hiddenLine xmlns:a14="http://schemas.microsoft.com/office/drawing/2010/main">
                  <a:noFill/>
                </a14:hiddenLine>
              </a:ext>
            </a:extLst>
          </c:spPr>
          <c:invertIfNegative val="0"/>
          <c:cat>
            <c:strRef>
              <c:f>Analysis!$D$1340:$I$1340</c:f>
              <c:strCache>
                <c:ptCount val="6"/>
                <c:pt idx="0">
                  <c:v>Q1 23</c:v>
                </c:pt>
                <c:pt idx="1">
                  <c:v>Q2 23</c:v>
                </c:pt>
                <c:pt idx="2">
                  <c:v>Q3 23</c:v>
                </c:pt>
                <c:pt idx="3">
                  <c:v>Q4 23</c:v>
                </c:pt>
                <c:pt idx="4">
                  <c:v>Q1 24</c:v>
                </c:pt>
                <c:pt idx="5">
                  <c:v>Q2 24</c:v>
                </c:pt>
              </c:strCache>
            </c:strRef>
          </c:cat>
          <c:val>
            <c:numRef>
              <c:f>Analysis!$D$1341:$I$1341</c:f>
              <c:numCache>
                <c:formatCode>#,##0</c:formatCode>
                <c:ptCount val="6"/>
                <c:pt idx="0">
                  <c:v>11721</c:v>
                </c:pt>
                <c:pt idx="1">
                  <c:v>11768</c:v>
                </c:pt>
                <c:pt idx="2">
                  <c:v>11882</c:v>
                </c:pt>
                <c:pt idx="3">
                  <c:v>12311</c:v>
                </c:pt>
                <c:pt idx="4">
                  <c:v>13427</c:v>
                </c:pt>
                <c:pt idx="5" formatCode="0">
                  <c:v>14634</c:v>
                </c:pt>
              </c:numCache>
            </c:numRef>
          </c:val>
          <c:extLst>
            <c:ext xmlns:c16="http://schemas.microsoft.com/office/drawing/2014/chart" uri="{C3380CC4-5D6E-409C-BE32-E72D297353CC}">
              <c16:uniqueId val="{00000000-BB4C-406F-BCE6-34ACB55CBE57}"/>
            </c:ext>
          </c:extLst>
        </c:ser>
        <c:ser>
          <c:idx val="1"/>
          <c:order val="1"/>
          <c:tx>
            <c:strRef>
              <c:f>Analysis!$B$1343</c:f>
              <c:strCache>
                <c:ptCount val="1"/>
                <c:pt idx="0">
                  <c:v>Deposits</c:v>
                </c:pt>
              </c:strCache>
            </c:strRef>
          </c:tx>
          <c:spPr>
            <a:solidFill>
              <a:schemeClr val="accent6">
                <a:lumMod val="75000"/>
              </a:schemeClr>
            </a:solidFill>
            <a:ln>
              <a:noFill/>
            </a:ln>
            <a:effectLst/>
            <a:extLst>
              <a:ext uri="{91240B29-F687-4F45-9708-019B960494DF}">
                <a14:hiddenLine xmlns:a14="http://schemas.microsoft.com/office/drawing/2010/main">
                  <a:noFill/>
                </a14:hiddenLine>
              </a:ext>
            </a:extLst>
          </c:spPr>
          <c:invertIfNegative val="0"/>
          <c:cat>
            <c:strRef>
              <c:f>Analysis!$D$1340:$I$1340</c:f>
              <c:strCache>
                <c:ptCount val="6"/>
                <c:pt idx="0">
                  <c:v>Q1 23</c:v>
                </c:pt>
                <c:pt idx="1">
                  <c:v>Q2 23</c:v>
                </c:pt>
                <c:pt idx="2">
                  <c:v>Q3 23</c:v>
                </c:pt>
                <c:pt idx="3">
                  <c:v>Q4 23</c:v>
                </c:pt>
                <c:pt idx="4">
                  <c:v>Q1 24</c:v>
                </c:pt>
                <c:pt idx="5">
                  <c:v>Q2 24</c:v>
                </c:pt>
              </c:strCache>
            </c:strRef>
          </c:cat>
          <c:val>
            <c:numRef>
              <c:f>Analysis!$D$1343:$I$1343</c:f>
              <c:numCache>
                <c:formatCode>#,##0</c:formatCode>
                <c:ptCount val="6"/>
                <c:pt idx="0">
                  <c:v>95</c:v>
                </c:pt>
                <c:pt idx="1">
                  <c:v>1536</c:v>
                </c:pt>
                <c:pt idx="2">
                  <c:v>2761</c:v>
                </c:pt>
                <c:pt idx="3">
                  <c:v>17354</c:v>
                </c:pt>
                <c:pt idx="4">
                  <c:v>37910</c:v>
                </c:pt>
                <c:pt idx="5" formatCode="0">
                  <c:v>46657</c:v>
                </c:pt>
              </c:numCache>
            </c:numRef>
          </c:val>
          <c:extLst>
            <c:ext xmlns:c16="http://schemas.microsoft.com/office/drawing/2014/chart" uri="{C3380CC4-5D6E-409C-BE32-E72D297353CC}">
              <c16:uniqueId val="{00000001-BB4C-406F-BCE6-34ACB55CBE57}"/>
            </c:ext>
          </c:extLst>
        </c:ser>
        <c:dLbls>
          <c:showLegendKey val="0"/>
          <c:showVal val="0"/>
          <c:showCatName val="0"/>
          <c:showSerName val="0"/>
          <c:showPercent val="0"/>
          <c:showBubbleSize val="0"/>
        </c:dLbls>
        <c:gapWidth val="30"/>
        <c:overlap val="-27"/>
        <c:axId val="137362208"/>
        <c:axId val="137359808"/>
      </c:barChart>
      <c:lineChart>
        <c:grouping val="standard"/>
        <c:varyColors val="0"/>
        <c:ser>
          <c:idx val="2"/>
          <c:order val="2"/>
          <c:tx>
            <c:strRef>
              <c:f>Analysis!$B$1344</c:f>
              <c:strCache>
                <c:ptCount val="1"/>
                <c:pt idx="0">
                  <c:v>Loan to deposit (RHS)</c:v>
                </c:pt>
              </c:strCache>
            </c:strRef>
          </c:tx>
          <c:spPr>
            <a:ln w="28575" cap="rnd">
              <a:noFill/>
              <a:round/>
            </a:ln>
            <a:effectLst/>
          </c:spPr>
          <c:marker>
            <c:symbol val="square"/>
            <c:size val="9"/>
            <c:spPr>
              <a:solidFill>
                <a:schemeClr val="accent6">
                  <a:lumMod val="40000"/>
                  <a:lumOff val="60000"/>
                </a:schemeClr>
              </a:solidFill>
              <a:ln w="9525">
                <a:solidFill>
                  <a:schemeClr val="tx1"/>
                </a:solidFill>
              </a:ln>
              <a:effectLst/>
            </c:spPr>
          </c:marker>
          <c:dLbls>
            <c:dLbl>
              <c:idx val="4"/>
              <c:layout>
                <c:manualLayout>
                  <c:x val="-8.1761007638967528E-2"/>
                  <c:y val="-4.6304553311459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4C-406F-BCE6-34ACB55CBE57}"/>
                </c:ext>
              </c:extLst>
            </c:dLbl>
            <c:dLbl>
              <c:idx val="5"/>
              <c:layout>
                <c:manualLayout>
                  <c:x val="-6.5849664730371113E-2"/>
                  <c:y val="-7.3315542743143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87-4C1B-96E0-4543503325A6}"/>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Helvetica Neue"/>
                    <a:ea typeface="Helvetica Neue"/>
                    <a:cs typeface="Helvetica Neue"/>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Analysis!$D$1340:$I$1340</c:f>
              <c:strCache>
                <c:ptCount val="6"/>
                <c:pt idx="0">
                  <c:v>Q1 23</c:v>
                </c:pt>
                <c:pt idx="1">
                  <c:v>Q2 23</c:v>
                </c:pt>
                <c:pt idx="2">
                  <c:v>Q3 23</c:v>
                </c:pt>
                <c:pt idx="3">
                  <c:v>Q4 23</c:v>
                </c:pt>
                <c:pt idx="4">
                  <c:v>Q1 24</c:v>
                </c:pt>
                <c:pt idx="5">
                  <c:v>Q2 24</c:v>
                </c:pt>
              </c:strCache>
            </c:strRef>
          </c:cat>
          <c:val>
            <c:numRef>
              <c:f>Analysis!$D$1344:$I$1344</c:f>
              <c:numCache>
                <c:formatCode>0%</c:formatCode>
                <c:ptCount val="6"/>
                <c:pt idx="3">
                  <c:v>0.70940417194883021</c:v>
                </c:pt>
                <c:pt idx="4">
                  <c:v>0.35418095489316803</c:v>
                </c:pt>
                <c:pt idx="5">
                  <c:v>0.31365068478470542</c:v>
                </c:pt>
              </c:numCache>
            </c:numRef>
          </c:val>
          <c:smooth val="0"/>
          <c:extLst>
            <c:ext xmlns:c16="http://schemas.microsoft.com/office/drawing/2014/chart" uri="{C3380CC4-5D6E-409C-BE32-E72D297353CC}">
              <c16:uniqueId val="{00000002-BB4C-406F-BCE6-34ACB55CBE57}"/>
            </c:ext>
          </c:extLst>
        </c:ser>
        <c:dLbls>
          <c:showLegendKey val="0"/>
          <c:showVal val="0"/>
          <c:showCatName val="0"/>
          <c:showSerName val="0"/>
          <c:showPercent val="0"/>
          <c:showBubbleSize val="0"/>
        </c:dLbls>
        <c:marker val="1"/>
        <c:smooth val="0"/>
        <c:axId val="280325056"/>
        <c:axId val="280324096"/>
      </c:lineChart>
      <c:catAx>
        <c:axId val="13736220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37359808"/>
        <c:crosses val="autoZero"/>
        <c:auto val="1"/>
        <c:lblAlgn val="ctr"/>
        <c:lblOffset val="100"/>
        <c:noMultiLvlLbl val="0"/>
      </c:catAx>
      <c:valAx>
        <c:axId val="137359808"/>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37362208"/>
        <c:crosses val="autoZero"/>
        <c:crossBetween val="between"/>
      </c:valAx>
      <c:valAx>
        <c:axId val="280324096"/>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280325056"/>
        <c:crosses val="max"/>
        <c:crossBetween val="between"/>
      </c:valAx>
      <c:catAx>
        <c:axId val="280325056"/>
        <c:scaling>
          <c:orientation val="minMax"/>
        </c:scaling>
        <c:delete val="1"/>
        <c:axPos val="b"/>
        <c:numFmt formatCode="General" sourceLinked="1"/>
        <c:majorTickMark val="out"/>
        <c:minorTickMark val="none"/>
        <c:tickLblPos val="nextTo"/>
        <c:crossAx val="280324096"/>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Analysis!$B$1380</c:f>
              <c:strCache>
                <c:ptCount val="1"/>
                <c:pt idx="0">
                  <c:v>Credit cards</c:v>
                </c:pt>
              </c:strCache>
            </c:strRef>
          </c:tx>
          <c:spPr>
            <a:solidFill>
              <a:schemeClr val="accent6">
                <a:lumMod val="75000"/>
              </a:schemeClr>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Analysis!$D$1379:$L$1379</c:f>
              <c:strCache>
                <c:ptCount val="9"/>
                <c:pt idx="0">
                  <c:v>Q2 22</c:v>
                </c:pt>
                <c:pt idx="1">
                  <c:v>Q3 22</c:v>
                </c:pt>
                <c:pt idx="2">
                  <c:v>Q4 22</c:v>
                </c:pt>
                <c:pt idx="3">
                  <c:v>Q1 23</c:v>
                </c:pt>
                <c:pt idx="4">
                  <c:v>Q2 23</c:v>
                </c:pt>
                <c:pt idx="5">
                  <c:v>Q3 23</c:v>
                </c:pt>
                <c:pt idx="6">
                  <c:v>Q4 23</c:v>
                </c:pt>
                <c:pt idx="7">
                  <c:v>Q1 24</c:v>
                </c:pt>
                <c:pt idx="8">
                  <c:v>Q2 24</c:v>
                </c:pt>
              </c:strCache>
            </c:strRef>
          </c:cat>
          <c:val>
            <c:numRef>
              <c:f>Analysis!$D$1380:$L$1380</c:f>
              <c:numCache>
                <c:formatCode>#,##0</c:formatCode>
                <c:ptCount val="9"/>
                <c:pt idx="0">
                  <c:v>6478.47</c:v>
                </c:pt>
                <c:pt idx="1">
                  <c:v>6987.9480000000003</c:v>
                </c:pt>
                <c:pt idx="2">
                  <c:v>8233</c:v>
                </c:pt>
                <c:pt idx="3">
                  <c:v>9158</c:v>
                </c:pt>
                <c:pt idx="4">
                  <c:v>10388</c:v>
                </c:pt>
                <c:pt idx="5">
                  <c:v>10495.5</c:v>
                </c:pt>
                <c:pt idx="6">
                  <c:v>12414</c:v>
                </c:pt>
                <c:pt idx="7">
                  <c:v>12796.7</c:v>
                </c:pt>
                <c:pt idx="8">
                  <c:v>12027</c:v>
                </c:pt>
              </c:numCache>
            </c:numRef>
          </c:val>
          <c:extLst>
            <c:ext xmlns:c16="http://schemas.microsoft.com/office/drawing/2014/chart" uri="{C3380CC4-5D6E-409C-BE32-E72D297353CC}">
              <c16:uniqueId val="{00000000-2785-475A-B7B0-4F42F2592473}"/>
            </c:ext>
          </c:extLst>
        </c:ser>
        <c:ser>
          <c:idx val="1"/>
          <c:order val="1"/>
          <c:tx>
            <c:strRef>
              <c:f>Analysis!$B$1381</c:f>
              <c:strCache>
                <c:ptCount val="1"/>
                <c:pt idx="0">
                  <c:v>Loans </c:v>
                </c:pt>
              </c:strCache>
            </c:strRef>
          </c:tx>
          <c:spPr>
            <a:solidFill>
              <a:schemeClr val="accent6">
                <a:lumMod val="40000"/>
                <a:lumOff val="60000"/>
              </a:schemeClr>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Analysis!$D$1379:$L$1379</c:f>
              <c:strCache>
                <c:ptCount val="9"/>
                <c:pt idx="0">
                  <c:v>Q2 22</c:v>
                </c:pt>
                <c:pt idx="1">
                  <c:v>Q3 22</c:v>
                </c:pt>
                <c:pt idx="2">
                  <c:v>Q4 22</c:v>
                </c:pt>
                <c:pt idx="3">
                  <c:v>Q1 23</c:v>
                </c:pt>
                <c:pt idx="4">
                  <c:v>Q2 23</c:v>
                </c:pt>
                <c:pt idx="5">
                  <c:v>Q3 23</c:v>
                </c:pt>
                <c:pt idx="6">
                  <c:v>Q4 23</c:v>
                </c:pt>
                <c:pt idx="7">
                  <c:v>Q1 24</c:v>
                </c:pt>
                <c:pt idx="8">
                  <c:v>Q2 24</c:v>
                </c:pt>
              </c:strCache>
            </c:strRef>
          </c:cat>
          <c:val>
            <c:numRef>
              <c:f>Analysis!$D$1381:$L$1381</c:f>
              <c:numCache>
                <c:formatCode>#,##0</c:formatCode>
                <c:ptCount val="9"/>
                <c:pt idx="0">
                  <c:v>1675.7760000000001</c:v>
                </c:pt>
                <c:pt idx="1">
                  <c:v>1603.105</c:v>
                </c:pt>
                <c:pt idx="2">
                  <c:v>1673</c:v>
                </c:pt>
                <c:pt idx="3">
                  <c:v>2020</c:v>
                </c:pt>
                <c:pt idx="4">
                  <c:v>2433</c:v>
                </c:pt>
                <c:pt idx="5">
                  <c:v>2689.9780000000001</c:v>
                </c:pt>
                <c:pt idx="6">
                  <c:v>3202</c:v>
                </c:pt>
                <c:pt idx="7">
                  <c:v>3864</c:v>
                </c:pt>
                <c:pt idx="8">
                  <c:v>4008</c:v>
                </c:pt>
              </c:numCache>
            </c:numRef>
          </c:val>
          <c:extLst>
            <c:ext xmlns:c16="http://schemas.microsoft.com/office/drawing/2014/chart" uri="{C3380CC4-5D6E-409C-BE32-E72D297353CC}">
              <c16:uniqueId val="{00000001-2785-475A-B7B0-4F42F2592473}"/>
            </c:ext>
          </c:extLst>
        </c:ser>
        <c:dLbls>
          <c:showLegendKey val="0"/>
          <c:showVal val="0"/>
          <c:showCatName val="0"/>
          <c:showSerName val="0"/>
          <c:showPercent val="0"/>
          <c:showBubbleSize val="0"/>
        </c:dLbls>
        <c:gapWidth val="30"/>
        <c:overlap val="100"/>
        <c:axId val="710362223"/>
        <c:axId val="710363663"/>
      </c:barChart>
      <c:catAx>
        <c:axId val="710362223"/>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710363663"/>
        <c:crosses val="autoZero"/>
        <c:auto val="1"/>
        <c:lblAlgn val="ctr"/>
        <c:lblOffset val="100"/>
        <c:noMultiLvlLbl val="0"/>
      </c:catAx>
      <c:valAx>
        <c:axId val="710363663"/>
        <c:scaling>
          <c:orientation val="minMax"/>
        </c:scaling>
        <c:delete val="1"/>
        <c:axPos val="l"/>
        <c:numFmt formatCode="#,##0" sourceLinked="1"/>
        <c:majorTickMark val="out"/>
        <c:minorTickMark val="none"/>
        <c:tickLblPos val="nextTo"/>
        <c:crossAx val="71036222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Helvetica Neue"/>
                    <a:ea typeface="Helvetica Neue"/>
                    <a:cs typeface="Helvetica Neue"/>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Analysis!$E$1374:$I$1374</c:f>
              <c:strCache>
                <c:ptCount val="5"/>
                <c:pt idx="0">
                  <c:v>Q2 23</c:v>
                </c:pt>
                <c:pt idx="1">
                  <c:v>Q3 23</c:v>
                </c:pt>
                <c:pt idx="2">
                  <c:v>Q4 23</c:v>
                </c:pt>
                <c:pt idx="3">
                  <c:v>Q1 24</c:v>
                </c:pt>
                <c:pt idx="4">
                  <c:v>Q2 24</c:v>
                </c:pt>
              </c:strCache>
            </c:strRef>
          </c:cat>
          <c:val>
            <c:numRef>
              <c:f>Analysis!$E$1376:$I$1376</c:f>
              <c:numCache>
                <c:formatCode>0</c:formatCode>
                <c:ptCount val="5"/>
                <c:pt idx="0">
                  <c:v>130.185</c:v>
                </c:pt>
                <c:pt idx="1">
                  <c:v>141.81</c:v>
                </c:pt>
                <c:pt idx="2">
                  <c:v>161.37</c:v>
                </c:pt>
                <c:pt idx="3">
                  <c:v>154.256</c:v>
                </c:pt>
                <c:pt idx="4">
                  <c:v>158.07999999999998</c:v>
                </c:pt>
              </c:numCache>
            </c:numRef>
          </c:val>
          <c:extLst>
            <c:ext xmlns:c16="http://schemas.microsoft.com/office/drawing/2014/chart" uri="{C3380CC4-5D6E-409C-BE32-E72D297353CC}">
              <c16:uniqueId val="{00000000-40EB-4D79-A27C-5848130AAC9D}"/>
            </c:ext>
          </c:extLst>
        </c:ser>
        <c:dLbls>
          <c:showLegendKey val="0"/>
          <c:showVal val="0"/>
          <c:showCatName val="0"/>
          <c:showSerName val="0"/>
          <c:showPercent val="0"/>
          <c:showBubbleSize val="0"/>
        </c:dLbls>
        <c:gapWidth val="30"/>
        <c:overlap val="-27"/>
        <c:axId val="1435747056"/>
        <c:axId val="1434857727"/>
      </c:barChart>
      <c:catAx>
        <c:axId val="1435747056"/>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34857727"/>
        <c:crosses val="autoZero"/>
        <c:auto val="1"/>
        <c:lblAlgn val="ctr"/>
        <c:lblOffset val="100"/>
        <c:noMultiLvlLbl val="0"/>
      </c:catAx>
      <c:valAx>
        <c:axId val="1434857727"/>
        <c:scaling>
          <c:orientation val="minMax"/>
        </c:scaling>
        <c:delete val="1"/>
        <c:axPos val="l"/>
        <c:numFmt formatCode="0" sourceLinked="1"/>
        <c:majorTickMark val="out"/>
        <c:minorTickMark val="none"/>
        <c:tickLblPos val="nextTo"/>
        <c:crossAx val="143574705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6">
                <a:lumMod val="60000"/>
                <a:lumOff val="40000"/>
              </a:schemeClr>
            </a:solidFill>
            <a:ln>
              <a:noFill/>
            </a:ln>
            <a:effectLst/>
          </c:spPr>
          <c:invertIfNegative val="0"/>
          <c:cat>
            <c:strRef>
              <c:f>Analysis!$E$1374:$I$1374</c:f>
              <c:strCache>
                <c:ptCount val="5"/>
                <c:pt idx="0">
                  <c:v>Q2 23</c:v>
                </c:pt>
                <c:pt idx="1">
                  <c:v>Q3 23</c:v>
                </c:pt>
                <c:pt idx="2">
                  <c:v>Q4 23</c:v>
                </c:pt>
                <c:pt idx="3">
                  <c:v>Q1 24</c:v>
                </c:pt>
                <c:pt idx="4">
                  <c:v>Q2 24</c:v>
                </c:pt>
              </c:strCache>
            </c:strRef>
          </c:cat>
          <c:val>
            <c:numRef>
              <c:f>Analysis!$E$1377:$I$1377</c:f>
              <c:numCache>
                <c:formatCode>0.0</c:formatCode>
                <c:ptCount val="5"/>
                <c:pt idx="0">
                  <c:v>12.94</c:v>
                </c:pt>
                <c:pt idx="1">
                  <c:v>13.79</c:v>
                </c:pt>
                <c:pt idx="2">
                  <c:v>13.6</c:v>
                </c:pt>
                <c:pt idx="3">
                  <c:v>15.3</c:v>
                </c:pt>
                <c:pt idx="4">
                  <c:v>16.7</c:v>
                </c:pt>
              </c:numCache>
            </c:numRef>
          </c:val>
          <c:extLst>
            <c:ext xmlns:c16="http://schemas.microsoft.com/office/drawing/2014/chart" uri="{C3380CC4-5D6E-409C-BE32-E72D297353CC}">
              <c16:uniqueId val="{00000000-60A3-42CC-BBC2-12B19DB76534}"/>
            </c:ext>
          </c:extLst>
        </c:ser>
        <c:dLbls>
          <c:showLegendKey val="0"/>
          <c:showVal val="0"/>
          <c:showCatName val="0"/>
          <c:showSerName val="0"/>
          <c:showPercent val="0"/>
          <c:showBubbleSize val="0"/>
        </c:dLbls>
        <c:gapWidth val="30"/>
        <c:overlap val="-27"/>
        <c:axId val="1435747056"/>
        <c:axId val="1434857727"/>
      </c:barChart>
      <c:catAx>
        <c:axId val="1435747056"/>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34857727"/>
        <c:crosses val="autoZero"/>
        <c:auto val="1"/>
        <c:lblAlgn val="ctr"/>
        <c:lblOffset val="100"/>
        <c:noMultiLvlLbl val="0"/>
      </c:catAx>
      <c:valAx>
        <c:axId val="1434857727"/>
        <c:scaling>
          <c:orientation val="minMax"/>
        </c:scaling>
        <c:delete val="0"/>
        <c:axPos val="l"/>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3574705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Analysis!$B$45</c:f>
              <c:strCache>
                <c:ptCount val="1"/>
                <c:pt idx="0">
                  <c:v>NPL - Nubank</c:v>
                </c:pt>
              </c:strCache>
            </c:strRef>
          </c:tx>
          <c:spPr>
            <a:ln w="25400" cap="rnd">
              <a:solidFill>
                <a:srgbClr val="333399"/>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Analysis!$C$44:$E$44</c:f>
              <c:numCache>
                <c:formatCode>General</c:formatCode>
                <c:ptCount val="3"/>
                <c:pt idx="0">
                  <c:v>2018</c:v>
                </c:pt>
                <c:pt idx="1">
                  <c:v>2019</c:v>
                </c:pt>
                <c:pt idx="2">
                  <c:v>2020</c:v>
                </c:pt>
              </c:numCache>
            </c:numRef>
          </c:cat>
          <c:val>
            <c:numRef>
              <c:f>Analysis!$C$45:$E$45</c:f>
              <c:numCache>
                <c:formatCode>0.0%</c:formatCode>
                <c:ptCount val="3"/>
                <c:pt idx="0">
                  <c:v>-7.3038551545756863E-2</c:v>
                </c:pt>
                <c:pt idx="1">
                  <c:v>-6.1592547020565998E-2</c:v>
                </c:pt>
                <c:pt idx="2">
                  <c:v>-5.4968218964846285E-2</c:v>
                </c:pt>
              </c:numCache>
            </c:numRef>
          </c:val>
          <c:smooth val="0"/>
          <c:extLst>
            <c:ext xmlns:c16="http://schemas.microsoft.com/office/drawing/2014/chart" uri="{C3380CC4-5D6E-409C-BE32-E72D297353CC}">
              <c16:uniqueId val="{00000000-D568-49A7-9EB0-66F23087D8C5}"/>
            </c:ext>
          </c:extLst>
        </c:ser>
        <c:ser>
          <c:idx val="1"/>
          <c:order val="1"/>
          <c:tx>
            <c:strRef>
              <c:f>Analysis!$B$46</c:f>
              <c:strCache>
                <c:ptCount val="1"/>
                <c:pt idx="0">
                  <c:v>NPL - Banco Inter</c:v>
                </c:pt>
              </c:strCache>
            </c:strRef>
          </c:tx>
          <c:spPr>
            <a:ln w="25400" cap="rnd">
              <a:solidFill>
                <a:srgbClr val="99CCFF"/>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Analysis!$C$44:$E$44</c:f>
              <c:numCache>
                <c:formatCode>General</c:formatCode>
                <c:ptCount val="3"/>
                <c:pt idx="0">
                  <c:v>2018</c:v>
                </c:pt>
                <c:pt idx="1">
                  <c:v>2019</c:v>
                </c:pt>
                <c:pt idx="2">
                  <c:v>2020</c:v>
                </c:pt>
              </c:numCache>
            </c:numRef>
          </c:cat>
          <c:val>
            <c:numRef>
              <c:f>Analysis!$C$46:$E$46</c:f>
              <c:numCache>
                <c:formatCode>0.0%</c:formatCode>
                <c:ptCount val="3"/>
                <c:pt idx="0">
                  <c:v>-1.9197849921376655E-2</c:v>
                </c:pt>
                <c:pt idx="1">
                  <c:v>-3.0751312628085867E-2</c:v>
                </c:pt>
                <c:pt idx="2">
                  <c:v>-3.0077690689259633E-2</c:v>
                </c:pt>
              </c:numCache>
            </c:numRef>
          </c:val>
          <c:smooth val="0"/>
          <c:extLst>
            <c:ext xmlns:c16="http://schemas.microsoft.com/office/drawing/2014/chart" uri="{C3380CC4-5D6E-409C-BE32-E72D297353CC}">
              <c16:uniqueId val="{00000001-D568-49A7-9EB0-66F23087D8C5}"/>
            </c:ext>
          </c:extLst>
        </c:ser>
        <c:dLbls>
          <c:showLegendKey val="0"/>
          <c:showVal val="0"/>
          <c:showCatName val="0"/>
          <c:showSerName val="0"/>
          <c:showPercent val="0"/>
          <c:showBubbleSize val="0"/>
        </c:dLbls>
        <c:smooth val="0"/>
        <c:axId val="766269552"/>
        <c:axId val="766259568"/>
      </c:lineChart>
      <c:catAx>
        <c:axId val="766269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66259568"/>
        <c:crosses val="autoZero"/>
        <c:auto val="1"/>
        <c:lblAlgn val="ctr"/>
        <c:lblOffset val="100"/>
        <c:noMultiLvlLbl val="0"/>
      </c:catAx>
      <c:valAx>
        <c:axId val="766259568"/>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6626955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Analysis!$B$1418</c:f>
              <c:strCache>
                <c:ptCount val="1"/>
                <c:pt idx="0">
                  <c:v>Credit cards</c:v>
                </c:pt>
              </c:strCache>
            </c:strRef>
          </c:tx>
          <c:spPr>
            <a:ln w="25400" cap="rnd">
              <a:solidFill>
                <a:schemeClr val="accent6">
                  <a:lumMod val="60000"/>
                  <a:lumOff val="40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Analysis!$C$1417:$L$1417</c:f>
              <c:strCache>
                <c:ptCount val="10"/>
                <c:pt idx="0">
                  <c:v>Q1 22</c:v>
                </c:pt>
                <c:pt idx="1">
                  <c:v>Q2 22</c:v>
                </c:pt>
                <c:pt idx="2">
                  <c:v>Q3 22</c:v>
                </c:pt>
                <c:pt idx="3">
                  <c:v>Q4 22</c:v>
                </c:pt>
                <c:pt idx="4">
                  <c:v>Q1 23</c:v>
                </c:pt>
                <c:pt idx="5">
                  <c:v>Q2 23</c:v>
                </c:pt>
                <c:pt idx="6">
                  <c:v>Q3 23</c:v>
                </c:pt>
                <c:pt idx="7">
                  <c:v>Q4 23</c:v>
                </c:pt>
                <c:pt idx="8">
                  <c:v>Q1 24</c:v>
                </c:pt>
                <c:pt idx="9">
                  <c:v>Q2 24</c:v>
                </c:pt>
              </c:strCache>
            </c:strRef>
          </c:cat>
          <c:val>
            <c:numRef>
              <c:f>Analysis!$C$1418:$L$1418</c:f>
              <c:numCache>
                <c:formatCode>0%</c:formatCode>
                <c:ptCount val="10"/>
                <c:pt idx="0">
                  <c:v>0.11152838052426851</c:v>
                </c:pt>
                <c:pt idx="1">
                  <c:v>0.13952598049524004</c:v>
                </c:pt>
                <c:pt idx="2">
                  <c:v>0.139844379093292</c:v>
                </c:pt>
                <c:pt idx="3">
                  <c:v>0.14927230919114998</c:v>
                </c:pt>
                <c:pt idx="4">
                  <c:v>0.18127178864257518</c:v>
                </c:pt>
                <c:pt idx="5">
                  <c:v>0.2108626198083067</c:v>
                </c:pt>
                <c:pt idx="6">
                  <c:v>0.2227899297375914</c:v>
                </c:pt>
                <c:pt idx="7">
                  <c:v>0.23817191368942345</c:v>
                </c:pt>
                <c:pt idx="8">
                  <c:v>0.26591270685758872</c:v>
                </c:pt>
                <c:pt idx="9">
                  <c:v>0.27317545927209708</c:v>
                </c:pt>
              </c:numCache>
            </c:numRef>
          </c:val>
          <c:smooth val="0"/>
          <c:extLst>
            <c:ext xmlns:c16="http://schemas.microsoft.com/office/drawing/2014/chart" uri="{C3380CC4-5D6E-409C-BE32-E72D297353CC}">
              <c16:uniqueId val="{00000000-6379-48F1-BFC2-546CCE3DFD35}"/>
            </c:ext>
          </c:extLst>
        </c:ser>
        <c:ser>
          <c:idx val="1"/>
          <c:order val="1"/>
          <c:tx>
            <c:strRef>
              <c:f>Analysis!$B$1419</c:f>
              <c:strCache>
                <c:ptCount val="1"/>
                <c:pt idx="0">
                  <c:v>Loans</c:v>
                </c:pt>
              </c:strCache>
            </c:strRef>
          </c:tx>
          <c:spPr>
            <a:ln w="25400" cap="rnd">
              <a:solidFill>
                <a:schemeClr val="accent6">
                  <a:lumMod val="75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Analysis!$C$1417:$L$1417</c:f>
              <c:strCache>
                <c:ptCount val="10"/>
                <c:pt idx="0">
                  <c:v>Q1 22</c:v>
                </c:pt>
                <c:pt idx="1">
                  <c:v>Q2 22</c:v>
                </c:pt>
                <c:pt idx="2">
                  <c:v>Q3 22</c:v>
                </c:pt>
                <c:pt idx="3">
                  <c:v>Q4 22</c:v>
                </c:pt>
                <c:pt idx="4">
                  <c:v>Q1 23</c:v>
                </c:pt>
                <c:pt idx="5">
                  <c:v>Q2 23</c:v>
                </c:pt>
                <c:pt idx="6">
                  <c:v>Q3 23</c:v>
                </c:pt>
                <c:pt idx="7">
                  <c:v>Q4 23</c:v>
                </c:pt>
                <c:pt idx="8">
                  <c:v>Q1 24</c:v>
                </c:pt>
                <c:pt idx="9">
                  <c:v>Q2 24</c:v>
                </c:pt>
              </c:strCache>
            </c:strRef>
          </c:cat>
          <c:val>
            <c:numRef>
              <c:f>Analysis!$C$1419:$L$1419</c:f>
              <c:numCache>
                <c:formatCode>0%</c:formatCode>
                <c:ptCount val="10"/>
                <c:pt idx="0">
                  <c:v>0.38655043586550436</c:v>
                </c:pt>
                <c:pt idx="1">
                  <c:v>0.4613571640496536</c:v>
                </c:pt>
                <c:pt idx="2">
                  <c:v>0.51937421639415093</c:v>
                </c:pt>
                <c:pt idx="3">
                  <c:v>0.53639560207182801</c:v>
                </c:pt>
                <c:pt idx="4">
                  <c:v>0.53098166627987931</c:v>
                </c:pt>
                <c:pt idx="5">
                  <c:v>0.55070202808112323</c:v>
                </c:pt>
                <c:pt idx="6">
                  <c:v>0.61657888232796387</c:v>
                </c:pt>
                <c:pt idx="7">
                  <c:v>0.65550248656204324</c:v>
                </c:pt>
                <c:pt idx="8">
                  <c:v>0.6405468082509459</c:v>
                </c:pt>
                <c:pt idx="9">
                  <c:v>0.6997845172860081</c:v>
                </c:pt>
              </c:numCache>
            </c:numRef>
          </c:val>
          <c:smooth val="0"/>
          <c:extLst>
            <c:ext xmlns:c16="http://schemas.microsoft.com/office/drawing/2014/chart" uri="{C3380CC4-5D6E-409C-BE32-E72D297353CC}">
              <c16:uniqueId val="{00000001-6379-48F1-BFC2-546CCE3DFD35}"/>
            </c:ext>
          </c:extLst>
        </c:ser>
        <c:dLbls>
          <c:showLegendKey val="0"/>
          <c:showVal val="0"/>
          <c:showCatName val="0"/>
          <c:showSerName val="0"/>
          <c:showPercent val="0"/>
          <c:showBubbleSize val="0"/>
        </c:dLbls>
        <c:smooth val="0"/>
        <c:axId val="712849391"/>
        <c:axId val="712849871"/>
      </c:lineChart>
      <c:catAx>
        <c:axId val="712849391"/>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712849871"/>
        <c:crosses val="autoZero"/>
        <c:auto val="1"/>
        <c:lblAlgn val="ctr"/>
        <c:lblOffset val="100"/>
        <c:noMultiLvlLbl val="0"/>
      </c:catAx>
      <c:valAx>
        <c:axId val="712849871"/>
        <c:scaling>
          <c:orientation val="minMax"/>
        </c:scaling>
        <c:delete val="1"/>
        <c:axPos val="l"/>
        <c:numFmt formatCode="0%" sourceLinked="1"/>
        <c:majorTickMark val="out"/>
        <c:minorTickMark val="none"/>
        <c:tickLblPos val="nextTo"/>
        <c:crossAx val="712849391"/>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snap'!$B$41</c:f>
              <c:strCache>
                <c:ptCount val="1"/>
                <c:pt idx="0">
                  <c:v>Revenue</c:v>
                </c:pt>
              </c:strCache>
            </c:strRef>
          </c:tx>
          <c:spPr>
            <a:solidFill>
              <a:srgbClr val="26323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snap'!$C$40:$J$40</c:f>
              <c:strCache>
                <c:ptCount val="3"/>
                <c:pt idx="0">
                  <c:v>Q1 23</c:v>
                </c:pt>
                <c:pt idx="1">
                  <c:v>Q2 23</c:v>
                </c:pt>
                <c:pt idx="2">
                  <c:v>Q3 23</c:v>
                </c:pt>
              </c:strCache>
            </c:strRef>
          </c:cat>
          <c:val>
            <c:numRef>
              <c:f>'Earnings snap'!$C$41:$J$41</c:f>
              <c:numCache>
                <c:formatCode>0%</c:formatCode>
                <c:ptCount val="3"/>
                <c:pt idx="0">
                  <c:v>0.87</c:v>
                </c:pt>
                <c:pt idx="1">
                  <c:v>0.6</c:v>
                </c:pt>
                <c:pt idx="2">
                  <c:v>0.53</c:v>
                </c:pt>
              </c:numCache>
            </c:numRef>
          </c:val>
          <c:extLst>
            <c:ext xmlns:c16="http://schemas.microsoft.com/office/drawing/2014/chart" uri="{C3380CC4-5D6E-409C-BE32-E72D297353CC}">
              <c16:uniqueId val="{00000000-1762-4F1A-B612-29D832778352}"/>
            </c:ext>
          </c:extLst>
        </c:ser>
        <c:ser>
          <c:idx val="1"/>
          <c:order val="1"/>
          <c:tx>
            <c:strRef>
              <c:f>'Earnings snap'!$B$42</c:f>
              <c:strCache>
                <c:ptCount val="1"/>
                <c:pt idx="0">
                  <c:v>Interest-earning portfolio</c:v>
                </c:pt>
              </c:strCache>
            </c:strRef>
          </c:tx>
          <c:spPr>
            <a:solidFill>
              <a:srgbClr val="799098"/>
            </a:solidFill>
            <a:ln w="25400">
              <a:noFill/>
            </a:ln>
            <a:effec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snap'!$C$40:$J$40</c:f>
              <c:strCache>
                <c:ptCount val="3"/>
                <c:pt idx="0">
                  <c:v>Q1 23</c:v>
                </c:pt>
                <c:pt idx="1">
                  <c:v>Q2 23</c:v>
                </c:pt>
                <c:pt idx="2">
                  <c:v>Q3 23</c:v>
                </c:pt>
              </c:strCache>
            </c:strRef>
          </c:cat>
          <c:val>
            <c:numRef>
              <c:f>'Earnings snap'!$C$42:$J$42</c:f>
              <c:numCache>
                <c:formatCode>0%</c:formatCode>
                <c:ptCount val="3"/>
                <c:pt idx="0">
                  <c:v>0.79</c:v>
                </c:pt>
                <c:pt idx="1">
                  <c:v>0.8</c:v>
                </c:pt>
                <c:pt idx="2">
                  <c:v>0.76</c:v>
                </c:pt>
              </c:numCache>
            </c:numRef>
          </c:val>
          <c:extLst>
            <c:ext xmlns:c16="http://schemas.microsoft.com/office/drawing/2014/chart" uri="{C3380CC4-5D6E-409C-BE32-E72D297353CC}">
              <c16:uniqueId val="{00000001-1762-4F1A-B612-29D832778352}"/>
            </c:ext>
          </c:extLst>
        </c:ser>
        <c:dLbls>
          <c:dLblPos val="outEnd"/>
          <c:showLegendKey val="0"/>
          <c:showVal val="1"/>
          <c:showCatName val="0"/>
          <c:showSerName val="0"/>
          <c:showPercent val="0"/>
          <c:showBubbleSize val="0"/>
        </c:dLbls>
        <c:gapWidth val="30"/>
        <c:overlap val="-27"/>
        <c:axId val="522251872"/>
        <c:axId val="522255200"/>
      </c:barChart>
      <c:catAx>
        <c:axId val="52225187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522255200"/>
        <c:crosses val="autoZero"/>
        <c:auto val="1"/>
        <c:lblAlgn val="ctr"/>
        <c:lblOffset val="100"/>
        <c:noMultiLvlLbl val="0"/>
      </c:catAx>
      <c:valAx>
        <c:axId val="522255200"/>
        <c:scaling>
          <c:orientation val="minMax"/>
        </c:scaling>
        <c:delete val="1"/>
        <c:axPos val="l"/>
        <c:numFmt formatCode="0%" sourceLinked="1"/>
        <c:majorTickMark val="out"/>
        <c:minorTickMark val="none"/>
        <c:tickLblPos val="nextTo"/>
        <c:crossAx val="52225187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'Earnings snap'!$B$225</c:f>
              <c:strCache>
                <c:ptCount val="1"/>
                <c:pt idx="0">
                  <c:v>Credit cards</c:v>
                </c:pt>
              </c:strCache>
            </c:strRef>
          </c:tx>
          <c:spPr>
            <a:solidFill>
              <a:srgbClr val="263238"/>
            </a:solidFill>
            <a:ln w="25400">
              <a:solidFill>
                <a:srgbClr val="263238"/>
              </a:solidFill>
              <a:prstDash val="solid"/>
            </a:ln>
            <a:effectLst/>
          </c:spPr>
          <c:invertIfNegative val="0"/>
          <c:cat>
            <c:numRef>
              <c:f>'Earnings snap'!$F$221:$Q$221</c:f>
              <c:numCache>
                <c:formatCode>0.0%</c:formatCode>
                <c:ptCount val="8"/>
                <c:pt idx="0">
                  <c:v>0</c:v>
                </c:pt>
                <c:pt idx="3">
                  <c:v>0</c:v>
                </c:pt>
              </c:numCache>
            </c:numRef>
          </c:cat>
          <c:val>
            <c:numRef>
              <c:f>'Earnings snap'!$F$222:$Q$222</c:f>
              <c:numCache>
                <c:formatCode>General</c:formatCode>
                <c:ptCount val="8"/>
              </c:numCache>
            </c:numRef>
          </c:val>
          <c:extLst>
            <c:ext xmlns:c16="http://schemas.microsoft.com/office/drawing/2014/chart" uri="{C3380CC4-5D6E-409C-BE32-E72D297353CC}">
              <c16:uniqueId val="{00000000-9F51-4546-8F11-219F7CDB69C7}"/>
            </c:ext>
          </c:extLst>
        </c:ser>
        <c:ser>
          <c:idx val="1"/>
          <c:order val="1"/>
          <c:tx>
            <c:strRef>
              <c:f>'Earnings snap'!$B$226</c:f>
              <c:strCache>
                <c:ptCount val="1"/>
                <c:pt idx="0">
                  <c:v>Personal loans</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cat>
            <c:numRef>
              <c:f>'Earnings snap'!$F$221:$Q$221</c:f>
              <c:numCache>
                <c:formatCode>0.0%</c:formatCode>
                <c:ptCount val="8"/>
                <c:pt idx="0">
                  <c:v>0</c:v>
                </c:pt>
                <c:pt idx="3">
                  <c:v>0</c:v>
                </c:pt>
              </c:numCache>
            </c:numRef>
          </c:cat>
          <c:val>
            <c:numRef>
              <c:f>'Earnings snap'!$F$223:$Q$223</c:f>
              <c:numCache>
                <c:formatCode>General</c:formatCode>
                <c:ptCount val="8"/>
              </c:numCache>
            </c:numRef>
          </c:val>
          <c:extLst>
            <c:ext xmlns:c16="http://schemas.microsoft.com/office/drawing/2014/chart" uri="{C3380CC4-5D6E-409C-BE32-E72D297353CC}">
              <c16:uniqueId val="{00000001-9F51-4546-8F11-219F7CDB69C7}"/>
            </c:ext>
          </c:extLst>
        </c:ser>
        <c:dLbls>
          <c:showLegendKey val="0"/>
          <c:showVal val="0"/>
          <c:showCatName val="0"/>
          <c:showSerName val="0"/>
          <c:showPercent val="0"/>
          <c:showBubbleSize val="0"/>
        </c:dLbls>
        <c:gapWidth val="50"/>
        <c:overlap val="100"/>
        <c:axId val="237024752"/>
        <c:axId val="237031408"/>
      </c:barChart>
      <c:lineChart>
        <c:grouping val="standard"/>
        <c:varyColors val="0"/>
        <c:ser>
          <c:idx val="2"/>
          <c:order val="2"/>
          <c:tx>
            <c:strRef>
              <c:f>'Earnings snap'!$B$229</c:f>
              <c:strCache>
                <c:ptCount val="1"/>
                <c:pt idx="0">
                  <c:v>y/y Loan book growth</c:v>
                </c:pt>
              </c:strCache>
            </c:strRef>
          </c:tx>
          <c:spPr>
            <a:ln w="28575" cap="rnd">
              <a:solidFill>
                <a:schemeClr val="accent3"/>
              </a:solidFill>
              <a:round/>
            </a:ln>
            <a:effectLst/>
          </c:spPr>
          <c:marker>
            <c:symbol val="none"/>
          </c:marker>
          <c:cat>
            <c:numRef>
              <c:f>'Earnings snap'!$F$221:$Q$221</c:f>
              <c:numCache>
                <c:formatCode>0.0%</c:formatCode>
                <c:ptCount val="8"/>
                <c:pt idx="0">
                  <c:v>0</c:v>
                </c:pt>
                <c:pt idx="3">
                  <c:v>0</c:v>
                </c:pt>
              </c:numCache>
            </c:numRef>
          </c:cat>
          <c:val>
            <c:numRef>
              <c:f>'Earnings snap'!$F$226:$Q$226</c:f>
              <c:numCache>
                <c:formatCode>0</c:formatCode>
                <c:ptCount val="8"/>
                <c:pt idx="0">
                  <c:v>0</c:v>
                </c:pt>
                <c:pt idx="3">
                  <c:v>0</c:v>
                </c:pt>
                <c:pt idx="5">
                  <c:v>0</c:v>
                </c:pt>
                <c:pt idx="6">
                  <c:v>0</c:v>
                </c:pt>
                <c:pt idx="7">
                  <c:v>0</c:v>
                </c:pt>
              </c:numCache>
            </c:numRef>
          </c:val>
          <c:smooth val="0"/>
          <c:extLst>
            <c:ext xmlns:c16="http://schemas.microsoft.com/office/drawing/2014/chart" uri="{C3380CC4-5D6E-409C-BE32-E72D297353CC}">
              <c16:uniqueId val="{00000002-9F51-4546-8F11-219F7CDB69C7}"/>
            </c:ext>
          </c:extLst>
        </c:ser>
        <c:dLbls>
          <c:showLegendKey val="0"/>
          <c:showVal val="0"/>
          <c:showCatName val="0"/>
          <c:showSerName val="0"/>
          <c:showPercent val="0"/>
          <c:showBubbleSize val="0"/>
        </c:dLbls>
        <c:marker val="1"/>
        <c:smooth val="0"/>
        <c:axId val="267153200"/>
        <c:axId val="267149040"/>
      </c:lineChart>
      <c:catAx>
        <c:axId val="237024752"/>
        <c:scaling>
          <c:orientation val="minMax"/>
        </c:scaling>
        <c:delete val="0"/>
        <c:axPos val="b"/>
        <c:numFmt formatCode="0.0%"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237031408"/>
        <c:crosses val="autoZero"/>
        <c:auto val="1"/>
        <c:lblAlgn val="ctr"/>
        <c:lblOffset val="100"/>
        <c:noMultiLvlLbl val="0"/>
      </c:catAx>
      <c:valAx>
        <c:axId val="237031408"/>
        <c:scaling>
          <c:orientation val="minMax"/>
        </c:scaling>
        <c:delete val="0"/>
        <c:axPos val="l"/>
        <c:numFmt formatCode="General"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237024752"/>
        <c:crosses val="autoZero"/>
        <c:crossBetween val="between"/>
      </c:valAx>
      <c:valAx>
        <c:axId val="267149040"/>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267153200"/>
        <c:crosses val="max"/>
        <c:crossBetween val="between"/>
      </c:valAx>
      <c:catAx>
        <c:axId val="267153200"/>
        <c:scaling>
          <c:orientation val="minMax"/>
        </c:scaling>
        <c:delete val="1"/>
        <c:axPos val="b"/>
        <c:numFmt formatCode="0.0%" sourceLinked="1"/>
        <c:majorTickMark val="out"/>
        <c:minorTickMark val="none"/>
        <c:tickLblPos val="nextTo"/>
        <c:crossAx val="267149040"/>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snap'!$B$238</c:f>
              <c:strCache>
                <c:ptCount val="1"/>
                <c:pt idx="0">
                  <c:v>Implied interest yield</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'Earnings snap'!$F$234:$Q$234</c:f>
              <c:numCache>
                <c:formatCode>General</c:formatCode>
                <c:ptCount val="8"/>
              </c:numCache>
            </c:numRef>
          </c:cat>
          <c:val>
            <c:numRef>
              <c:f>'Earnings snap'!$F$235:$Q$235</c:f>
              <c:numCache>
                <c:formatCode>General</c:formatCode>
                <c:ptCount val="8"/>
              </c:numCache>
            </c:numRef>
          </c:val>
          <c:smooth val="0"/>
          <c:extLst>
            <c:ext xmlns:c16="http://schemas.microsoft.com/office/drawing/2014/chart" uri="{C3380CC4-5D6E-409C-BE32-E72D297353CC}">
              <c16:uniqueId val="{00000000-473F-4C4B-B5AE-13144A7557C6}"/>
            </c:ext>
          </c:extLst>
        </c:ser>
        <c:dLbls>
          <c:showLegendKey val="0"/>
          <c:showVal val="0"/>
          <c:showCatName val="0"/>
          <c:showSerName val="0"/>
          <c:showPercent val="0"/>
          <c:showBubbleSize val="0"/>
        </c:dLbls>
        <c:smooth val="0"/>
        <c:axId val="233482768"/>
        <c:axId val="233483600"/>
      </c:lineChart>
      <c:catAx>
        <c:axId val="233482768"/>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233483600"/>
        <c:crosses val="autoZero"/>
        <c:auto val="1"/>
        <c:lblAlgn val="ctr"/>
        <c:lblOffset val="100"/>
        <c:noMultiLvlLbl val="0"/>
      </c:catAx>
      <c:valAx>
        <c:axId val="233483600"/>
        <c:scaling>
          <c:orientation val="minMax"/>
        </c:scaling>
        <c:delete val="1"/>
        <c:axPos val="l"/>
        <c:numFmt formatCode="0%" sourceLinked="0"/>
        <c:majorTickMark val="out"/>
        <c:minorTickMark val="none"/>
        <c:tickLblPos val="nextTo"/>
        <c:crossAx val="23348276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snap'!$B$75</c:f>
              <c:strCache>
                <c:ptCount val="1"/>
                <c:pt idx="0">
                  <c:v>Implied net interest expense (as a % of CDI)</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snap'!$E$70:$O$70</c:f>
              <c:strCache>
                <c:ptCount val="7"/>
                <c:pt idx="0">
                  <c:v>Q1 22</c:v>
                </c:pt>
                <c:pt idx="1">
                  <c:v>Q2 22</c:v>
                </c:pt>
                <c:pt idx="2">
                  <c:v>Q3 22</c:v>
                </c:pt>
                <c:pt idx="3">
                  <c:v>Q4 22</c:v>
                </c:pt>
                <c:pt idx="5">
                  <c:v>Q1 23</c:v>
                </c:pt>
                <c:pt idx="6">
                  <c:v>Q2 23</c:v>
                </c:pt>
              </c:strCache>
            </c:strRef>
          </c:cat>
          <c:val>
            <c:numRef>
              <c:f>'Earnings snap'!$E$75:$O$75</c:f>
              <c:numCache>
                <c:formatCode>0.0%</c:formatCode>
                <c:ptCount val="7"/>
                <c:pt idx="0">
                  <c:v>0.81072732473869413</c:v>
                </c:pt>
                <c:pt idx="1">
                  <c:v>0.90660001320775174</c:v>
                </c:pt>
                <c:pt idx="2">
                  <c:v>0.92718772494382506</c:v>
                </c:pt>
                <c:pt idx="3">
                  <c:v>0.71655174094198448</c:v>
                </c:pt>
                <c:pt idx="5">
                  <c:v>0.72807914404619611</c:v>
                </c:pt>
                <c:pt idx="6">
                  <c:v>0.69044742951996352</c:v>
                </c:pt>
              </c:numCache>
            </c:numRef>
          </c:val>
          <c:smooth val="0"/>
          <c:extLst>
            <c:ext xmlns:c16="http://schemas.microsoft.com/office/drawing/2014/chart" uri="{C3380CC4-5D6E-409C-BE32-E72D297353CC}">
              <c16:uniqueId val="{00000000-CA80-402A-A2BE-415AF42A547E}"/>
            </c:ext>
          </c:extLst>
        </c:ser>
        <c:dLbls>
          <c:showLegendKey val="0"/>
          <c:showVal val="0"/>
          <c:showCatName val="0"/>
          <c:showSerName val="0"/>
          <c:showPercent val="0"/>
          <c:showBubbleSize val="0"/>
        </c:dLbls>
        <c:smooth val="0"/>
        <c:axId val="1389562240"/>
        <c:axId val="1389559744"/>
      </c:lineChart>
      <c:catAx>
        <c:axId val="138956224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389559744"/>
        <c:crosses val="autoZero"/>
        <c:auto val="1"/>
        <c:lblAlgn val="ctr"/>
        <c:lblOffset val="100"/>
        <c:noMultiLvlLbl val="0"/>
      </c:catAx>
      <c:valAx>
        <c:axId val="1389559744"/>
        <c:scaling>
          <c:orientation val="minMax"/>
        </c:scaling>
        <c:delete val="1"/>
        <c:axPos val="l"/>
        <c:numFmt formatCode="0.0%" sourceLinked="1"/>
        <c:majorTickMark val="out"/>
        <c:minorTickMark val="none"/>
        <c:tickLblPos val="nextTo"/>
        <c:crossAx val="138956224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snap'!$B$134</c:f>
              <c:strCache>
                <c:ptCount val="1"/>
                <c:pt idx="0">
                  <c:v>Credit cards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snap'!$C$133:$O$133</c:f>
              <c:strCache>
                <c:ptCount val="7"/>
                <c:pt idx="0">
                  <c:v>Q1 22</c:v>
                </c:pt>
                <c:pt idx="1">
                  <c:v>Q2 22</c:v>
                </c:pt>
                <c:pt idx="2">
                  <c:v>Q3 22</c:v>
                </c:pt>
                <c:pt idx="3">
                  <c:v>Q4 22</c:v>
                </c:pt>
                <c:pt idx="5">
                  <c:v>Q1 23</c:v>
                </c:pt>
                <c:pt idx="6">
                  <c:v>Q2 23</c:v>
                </c:pt>
              </c:strCache>
            </c:strRef>
          </c:cat>
          <c:val>
            <c:numRef>
              <c:f>'Earnings snap'!$C$134:$O$134</c:f>
              <c:numCache>
                <c:formatCode>#,##0</c:formatCode>
                <c:ptCount val="7"/>
                <c:pt idx="0">
                  <c:v>29549.16</c:v>
                </c:pt>
                <c:pt idx="1">
                  <c:v>34076.752200000003</c:v>
                </c:pt>
                <c:pt idx="2">
                  <c:v>37843.232393999999</c:v>
                </c:pt>
                <c:pt idx="3">
                  <c:v>43470.240000000005</c:v>
                </c:pt>
                <c:pt idx="5">
                  <c:v>46339.479999999996</c:v>
                </c:pt>
                <c:pt idx="6">
                  <c:v>49758.52</c:v>
                </c:pt>
              </c:numCache>
            </c:numRef>
          </c:val>
          <c:extLst>
            <c:ext xmlns:c16="http://schemas.microsoft.com/office/drawing/2014/chart" uri="{C3380CC4-5D6E-409C-BE32-E72D297353CC}">
              <c16:uniqueId val="{00000000-1213-4DD6-BD77-CE31041045CF}"/>
            </c:ext>
          </c:extLst>
        </c:ser>
        <c:ser>
          <c:idx val="1"/>
          <c:order val="1"/>
          <c:tx>
            <c:strRef>
              <c:f>'Earnings snap'!$B$135</c:f>
              <c:strCache>
                <c:ptCount val="1"/>
                <c:pt idx="0">
                  <c:v>Personal loans</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snap'!$C$133:$O$133</c:f>
              <c:strCache>
                <c:ptCount val="7"/>
                <c:pt idx="0">
                  <c:v>Q1 22</c:v>
                </c:pt>
                <c:pt idx="1">
                  <c:v>Q2 22</c:v>
                </c:pt>
                <c:pt idx="2">
                  <c:v>Q3 22</c:v>
                </c:pt>
                <c:pt idx="3">
                  <c:v>Q4 22</c:v>
                </c:pt>
                <c:pt idx="5">
                  <c:v>Q1 23</c:v>
                </c:pt>
                <c:pt idx="6">
                  <c:v>Q2 23</c:v>
                </c:pt>
              </c:strCache>
            </c:strRef>
          </c:cat>
          <c:val>
            <c:numRef>
              <c:f>'Earnings snap'!$C$135:$O$135</c:f>
              <c:numCache>
                <c:formatCode>#,##0</c:formatCode>
                <c:ptCount val="7"/>
                <c:pt idx="0">
                  <c:v>7901.58</c:v>
                </c:pt>
                <c:pt idx="1">
                  <c:v>8814.5817599999991</c:v>
                </c:pt>
                <c:pt idx="2">
                  <c:v>8681.6151274999993</c:v>
                </c:pt>
                <c:pt idx="3">
                  <c:v>8833.44</c:v>
                </c:pt>
                <c:pt idx="5">
                  <c:v>10221.199999999999</c:v>
                </c:pt>
                <c:pt idx="6">
                  <c:v>11654.07</c:v>
                </c:pt>
              </c:numCache>
            </c:numRef>
          </c:val>
          <c:extLst>
            <c:ext xmlns:c16="http://schemas.microsoft.com/office/drawing/2014/chart" uri="{C3380CC4-5D6E-409C-BE32-E72D297353CC}">
              <c16:uniqueId val="{00000001-1213-4DD6-BD77-CE31041045CF}"/>
            </c:ext>
          </c:extLst>
        </c:ser>
        <c:dLbls>
          <c:dLblPos val="outEnd"/>
          <c:showLegendKey val="0"/>
          <c:showVal val="1"/>
          <c:showCatName val="0"/>
          <c:showSerName val="0"/>
          <c:showPercent val="0"/>
          <c:showBubbleSize val="0"/>
        </c:dLbls>
        <c:gapWidth val="30"/>
        <c:axId val="368793744"/>
        <c:axId val="368792496"/>
      </c:barChart>
      <c:catAx>
        <c:axId val="368793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368792496"/>
        <c:crosses val="autoZero"/>
        <c:auto val="1"/>
        <c:lblAlgn val="ctr"/>
        <c:lblOffset val="100"/>
        <c:noMultiLvlLbl val="0"/>
      </c:catAx>
      <c:valAx>
        <c:axId val="368792496"/>
        <c:scaling>
          <c:orientation val="minMax"/>
        </c:scaling>
        <c:delete val="1"/>
        <c:axPos val="l"/>
        <c:numFmt formatCode="#,##0" sourceLinked="1"/>
        <c:majorTickMark val="out"/>
        <c:minorTickMark val="none"/>
        <c:tickLblPos val="nextTo"/>
        <c:crossAx val="3687937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061113649533773E-2"/>
          <c:y val="6.3886980866832463E-2"/>
          <c:w val="0.93388795830918814"/>
          <c:h val="0.79188392965755294"/>
        </c:manualLayout>
      </c:layout>
      <c:barChart>
        <c:barDir val="col"/>
        <c:grouping val="clustered"/>
        <c:varyColors val="0"/>
        <c:ser>
          <c:idx val="0"/>
          <c:order val="0"/>
          <c:tx>
            <c:strRef>
              <c:f>'Earnings snap'!$B$45</c:f>
              <c:strCache>
                <c:ptCount val="1"/>
                <c:pt idx="0">
                  <c:v>Interest-earning portfolio</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snap'!$C$40:$J$40</c:f>
              <c:strCache>
                <c:ptCount val="3"/>
                <c:pt idx="0">
                  <c:v>Q1 23</c:v>
                </c:pt>
                <c:pt idx="1">
                  <c:v>Q2 23</c:v>
                </c:pt>
                <c:pt idx="2">
                  <c:v>Q3 23</c:v>
                </c:pt>
              </c:strCache>
            </c:strRef>
          </c:cat>
          <c:val>
            <c:numRef>
              <c:f>'Earnings snap'!$C$45:$J$45</c:f>
              <c:numCache>
                <c:formatCode>#,##0</c:formatCode>
                <c:ptCount val="3"/>
                <c:pt idx="0">
                  <c:v>26311.999999999996</c:v>
                </c:pt>
                <c:pt idx="1">
                  <c:v>30177</c:v>
                </c:pt>
                <c:pt idx="2">
                  <c:v>33768</c:v>
                </c:pt>
              </c:numCache>
            </c:numRef>
          </c:val>
          <c:extLst>
            <c:ext xmlns:c16="http://schemas.microsoft.com/office/drawing/2014/chart" uri="{C3380CC4-5D6E-409C-BE32-E72D297353CC}">
              <c16:uniqueId val="{00000000-5496-4B84-9F8A-A3D4D4EFFF83}"/>
            </c:ext>
          </c:extLst>
        </c:ser>
        <c:dLbls>
          <c:dLblPos val="outEnd"/>
          <c:showLegendKey val="0"/>
          <c:showVal val="1"/>
          <c:showCatName val="0"/>
          <c:showSerName val="0"/>
          <c:showPercent val="0"/>
          <c:showBubbleSize val="0"/>
        </c:dLbls>
        <c:gapWidth val="30"/>
        <c:overlap val="-27"/>
        <c:axId val="522251872"/>
        <c:axId val="522255200"/>
      </c:barChart>
      <c:catAx>
        <c:axId val="52225187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522255200"/>
        <c:crosses val="autoZero"/>
        <c:auto val="1"/>
        <c:lblAlgn val="ctr"/>
        <c:lblOffset val="100"/>
        <c:noMultiLvlLbl val="0"/>
      </c:catAx>
      <c:valAx>
        <c:axId val="522255200"/>
        <c:scaling>
          <c:orientation val="minMax"/>
        </c:scaling>
        <c:delete val="1"/>
        <c:axPos val="l"/>
        <c:numFmt formatCode="#,##0" sourceLinked="1"/>
        <c:majorTickMark val="out"/>
        <c:minorTickMark val="none"/>
        <c:tickLblPos val="nextTo"/>
        <c:crossAx val="52225187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snap'!$B$294</c:f>
              <c:strCache>
                <c:ptCount val="1"/>
                <c:pt idx="0">
                  <c:v>Credit card - old</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snap'!$E$293:$P$293</c:f>
              <c:strCache>
                <c:ptCount val="7"/>
                <c:pt idx="0">
                  <c:v>Q1 21</c:v>
                </c:pt>
                <c:pt idx="3">
                  <c:v>Q2 21</c:v>
                </c:pt>
                <c:pt idx="5">
                  <c:v>Q3 21</c:v>
                </c:pt>
                <c:pt idx="6">
                  <c:v>Q4 21</c:v>
                </c:pt>
              </c:strCache>
            </c:strRef>
          </c:cat>
          <c:val>
            <c:numRef>
              <c:f>'Earnings snap'!$E$294:$P$294</c:f>
              <c:numCache>
                <c:formatCode>0.0%</c:formatCode>
                <c:ptCount val="7"/>
                <c:pt idx="0">
                  <c:v>2.7E-2</c:v>
                </c:pt>
                <c:pt idx="3">
                  <c:v>2.7819913807022121E-2</c:v>
                </c:pt>
                <c:pt idx="5">
                  <c:v>3.2867885160314525E-2</c:v>
                </c:pt>
                <c:pt idx="6">
                  <c:v>3.3895675197317766E-2</c:v>
                </c:pt>
              </c:numCache>
            </c:numRef>
          </c:val>
          <c:smooth val="0"/>
          <c:extLst>
            <c:ext xmlns:c16="http://schemas.microsoft.com/office/drawing/2014/chart" uri="{C3380CC4-5D6E-409C-BE32-E72D297353CC}">
              <c16:uniqueId val="{00000000-B466-4768-AD1D-63ABE0FF46FA}"/>
            </c:ext>
          </c:extLst>
        </c:ser>
        <c:ser>
          <c:idx val="1"/>
          <c:order val="1"/>
          <c:tx>
            <c:strRef>
              <c:f>'Earnings snap'!$B$295</c:f>
              <c:strCache>
                <c:ptCount val="1"/>
                <c:pt idx="0">
                  <c:v>Personal loans - old</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snap'!$E$293:$P$293</c:f>
              <c:strCache>
                <c:ptCount val="7"/>
                <c:pt idx="0">
                  <c:v>Q1 21</c:v>
                </c:pt>
                <c:pt idx="3">
                  <c:v>Q2 21</c:v>
                </c:pt>
                <c:pt idx="5">
                  <c:v>Q3 21</c:v>
                </c:pt>
                <c:pt idx="6">
                  <c:v>Q4 21</c:v>
                </c:pt>
              </c:strCache>
            </c:strRef>
          </c:cat>
          <c:val>
            <c:numRef>
              <c:f>'Earnings snap'!$E$295:$P$295</c:f>
              <c:numCache>
                <c:formatCode>0.0%</c:formatCode>
                <c:ptCount val="7"/>
                <c:pt idx="0">
                  <c:v>2.699999999999993E-2</c:v>
                </c:pt>
                <c:pt idx="3">
                  <c:v>3.6897499906851955E-2</c:v>
                </c:pt>
                <c:pt idx="5">
                  <c:v>3.9527384217287867E-2</c:v>
                </c:pt>
                <c:pt idx="6">
                  <c:v>3.9154364733900215E-2</c:v>
                </c:pt>
              </c:numCache>
            </c:numRef>
          </c:val>
          <c:smooth val="0"/>
          <c:extLst>
            <c:ext xmlns:c16="http://schemas.microsoft.com/office/drawing/2014/chart" uri="{C3380CC4-5D6E-409C-BE32-E72D297353CC}">
              <c16:uniqueId val="{00000001-B466-4768-AD1D-63ABE0FF46FA}"/>
            </c:ext>
          </c:extLst>
        </c:ser>
        <c:ser>
          <c:idx val="2"/>
          <c:order val="2"/>
          <c:tx>
            <c:strRef>
              <c:f>'Earnings snap'!$B$296</c:f>
              <c:strCache>
                <c:ptCount val="1"/>
                <c:pt idx="0">
                  <c:v>Credit card - new</c:v>
                </c:pt>
              </c:strCache>
            </c:strRef>
          </c:tx>
          <c:spPr>
            <a:ln w="25400" cap="rnd">
              <a:solidFill>
                <a:srgbClr val="F9663E"/>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snap'!$E$293:$P$293</c:f>
              <c:strCache>
                <c:ptCount val="7"/>
                <c:pt idx="0">
                  <c:v>Q1 21</c:v>
                </c:pt>
                <c:pt idx="3">
                  <c:v>Q2 21</c:v>
                </c:pt>
                <c:pt idx="5">
                  <c:v>Q3 21</c:v>
                </c:pt>
                <c:pt idx="6">
                  <c:v>Q4 21</c:v>
                </c:pt>
              </c:strCache>
            </c:strRef>
          </c:cat>
          <c:val>
            <c:numRef>
              <c:f>'Earnings snap'!$E$296:$P$296</c:f>
              <c:numCache>
                <c:formatCode>0.0%</c:formatCode>
                <c:ptCount val="7"/>
                <c:pt idx="0">
                  <c:v>3.1274352037559489E-2</c:v>
                </c:pt>
                <c:pt idx="3">
                  <c:v>3.2371911755959271E-2</c:v>
                </c:pt>
                <c:pt idx="5">
                  <c:v>3.6523872583593624E-2</c:v>
                </c:pt>
                <c:pt idx="6">
                  <c:v>3.6515835619399965E-2</c:v>
                </c:pt>
              </c:numCache>
            </c:numRef>
          </c:val>
          <c:smooth val="0"/>
          <c:extLst>
            <c:ext xmlns:c16="http://schemas.microsoft.com/office/drawing/2014/chart" uri="{C3380CC4-5D6E-409C-BE32-E72D297353CC}">
              <c16:uniqueId val="{00000002-B466-4768-AD1D-63ABE0FF46FA}"/>
            </c:ext>
          </c:extLst>
        </c:ser>
        <c:ser>
          <c:idx val="3"/>
          <c:order val="3"/>
          <c:tx>
            <c:strRef>
              <c:f>'Earnings snap'!$B$297</c:f>
              <c:strCache>
                <c:ptCount val="1"/>
                <c:pt idx="0">
                  <c:v>Personal loans - new</c:v>
                </c:pt>
              </c:strCache>
            </c:strRef>
          </c:tx>
          <c:spPr>
            <a:ln w="25400" cap="rnd">
              <a:solidFill>
                <a:srgbClr val="C7FE02"/>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snap'!$E$293:$P$293</c:f>
              <c:strCache>
                <c:ptCount val="7"/>
                <c:pt idx="0">
                  <c:v>Q1 21</c:v>
                </c:pt>
                <c:pt idx="3">
                  <c:v>Q2 21</c:v>
                </c:pt>
                <c:pt idx="5">
                  <c:v>Q3 21</c:v>
                </c:pt>
                <c:pt idx="6">
                  <c:v>Q4 21</c:v>
                </c:pt>
              </c:strCache>
            </c:strRef>
          </c:cat>
          <c:val>
            <c:numRef>
              <c:f>'Earnings snap'!$E$297:$P$297</c:f>
              <c:numCache>
                <c:formatCode>0.0%</c:formatCode>
                <c:ptCount val="7"/>
                <c:pt idx="0">
                  <c:v>1.7445117261543554E-2</c:v>
                </c:pt>
                <c:pt idx="3">
                  <c:v>1.362499434695036E-2</c:v>
                </c:pt>
                <c:pt idx="5">
                  <c:v>1.0117081456105258E-2</c:v>
                </c:pt>
                <c:pt idx="6">
                  <c:v>1.0514162914611182E-2</c:v>
                </c:pt>
              </c:numCache>
            </c:numRef>
          </c:val>
          <c:smooth val="0"/>
          <c:extLst>
            <c:ext xmlns:c16="http://schemas.microsoft.com/office/drawing/2014/chart" uri="{C3380CC4-5D6E-409C-BE32-E72D297353CC}">
              <c16:uniqueId val="{00000003-B466-4768-AD1D-63ABE0FF46FA}"/>
            </c:ext>
          </c:extLst>
        </c:ser>
        <c:dLbls>
          <c:showLegendKey val="0"/>
          <c:showVal val="0"/>
          <c:showCatName val="0"/>
          <c:showSerName val="0"/>
          <c:showPercent val="0"/>
          <c:showBubbleSize val="0"/>
        </c:dLbls>
        <c:smooth val="0"/>
        <c:axId val="1957088463"/>
        <c:axId val="1957092207"/>
      </c:lineChart>
      <c:catAx>
        <c:axId val="1957088463"/>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957092207"/>
        <c:crosses val="autoZero"/>
        <c:auto val="1"/>
        <c:lblAlgn val="ctr"/>
        <c:lblOffset val="100"/>
        <c:noMultiLvlLbl val="0"/>
      </c:catAx>
      <c:valAx>
        <c:axId val="1957092207"/>
        <c:scaling>
          <c:orientation val="minMax"/>
        </c:scaling>
        <c:delete val="1"/>
        <c:axPos val="l"/>
        <c:numFmt formatCode="0.0%" sourceLinked="1"/>
        <c:majorTickMark val="out"/>
        <c:minorTickMark val="none"/>
        <c:tickLblPos val="nextTo"/>
        <c:crossAx val="195708846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snap'!$B$299</c:f>
              <c:strCache>
                <c:ptCount val="1"/>
                <c:pt idx="0">
                  <c:v>Blended new</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snap'!$C$293:$P$293</c:f>
              <c:strCache>
                <c:ptCount val="7"/>
                <c:pt idx="0">
                  <c:v>Q1 21</c:v>
                </c:pt>
                <c:pt idx="3">
                  <c:v>Q2 21</c:v>
                </c:pt>
                <c:pt idx="5">
                  <c:v>Q3 21</c:v>
                </c:pt>
                <c:pt idx="6">
                  <c:v>Q4 21</c:v>
                </c:pt>
              </c:strCache>
            </c:strRef>
          </c:cat>
          <c:val>
            <c:numRef>
              <c:f>'Earnings snap'!$C$299:$P$299</c:f>
              <c:numCache>
                <c:formatCode>0.0%</c:formatCode>
                <c:ptCount val="7"/>
                <c:pt idx="0">
                  <c:v>0.03</c:v>
                </c:pt>
                <c:pt idx="3">
                  <c:v>0.03</c:v>
                </c:pt>
                <c:pt idx="5">
                  <c:v>3.2000000000000001E-2</c:v>
                </c:pt>
                <c:pt idx="6">
                  <c:v>3.1E-2</c:v>
                </c:pt>
              </c:numCache>
            </c:numRef>
          </c:val>
          <c:smooth val="0"/>
          <c:extLst>
            <c:ext xmlns:c16="http://schemas.microsoft.com/office/drawing/2014/chart" uri="{C3380CC4-5D6E-409C-BE32-E72D297353CC}">
              <c16:uniqueId val="{00000000-DD9E-462D-A37F-EC331311717A}"/>
            </c:ext>
          </c:extLst>
        </c:ser>
        <c:ser>
          <c:idx val="1"/>
          <c:order val="1"/>
          <c:tx>
            <c:strRef>
              <c:f>'Earnings snap'!$B$300</c:f>
              <c:strCache>
                <c:ptCount val="1"/>
                <c:pt idx="0">
                  <c:v>Blended old</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snap'!$C$293:$P$293</c:f>
              <c:strCache>
                <c:ptCount val="7"/>
                <c:pt idx="0">
                  <c:v>Q1 21</c:v>
                </c:pt>
                <c:pt idx="3">
                  <c:v>Q2 21</c:v>
                </c:pt>
                <c:pt idx="5">
                  <c:v>Q3 21</c:v>
                </c:pt>
                <c:pt idx="6">
                  <c:v>Q4 21</c:v>
                </c:pt>
              </c:strCache>
            </c:strRef>
          </c:cat>
          <c:val>
            <c:numRef>
              <c:f>'Earnings snap'!$C$300:$P$300</c:f>
              <c:numCache>
                <c:formatCode>0.0%</c:formatCode>
                <c:ptCount val="7"/>
                <c:pt idx="0">
                  <c:v>2.7E-2</c:v>
                </c:pt>
                <c:pt idx="3">
                  <c:v>2.9000000000000001E-2</c:v>
                </c:pt>
                <c:pt idx="5">
                  <c:v>3.4000000000000002E-2</c:v>
                </c:pt>
                <c:pt idx="6">
                  <c:v>3.5000000000000003E-2</c:v>
                </c:pt>
              </c:numCache>
            </c:numRef>
          </c:val>
          <c:smooth val="0"/>
          <c:extLst>
            <c:ext xmlns:c16="http://schemas.microsoft.com/office/drawing/2014/chart" uri="{C3380CC4-5D6E-409C-BE32-E72D297353CC}">
              <c16:uniqueId val="{00000001-DD9E-462D-A37F-EC331311717A}"/>
            </c:ext>
          </c:extLst>
        </c:ser>
        <c:dLbls>
          <c:showLegendKey val="0"/>
          <c:showVal val="0"/>
          <c:showCatName val="0"/>
          <c:showSerName val="0"/>
          <c:showPercent val="0"/>
          <c:showBubbleSize val="0"/>
        </c:dLbls>
        <c:smooth val="0"/>
        <c:axId val="866377135"/>
        <c:axId val="866377967"/>
      </c:lineChart>
      <c:catAx>
        <c:axId val="866377135"/>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866377967"/>
        <c:crosses val="autoZero"/>
        <c:auto val="1"/>
        <c:lblAlgn val="ctr"/>
        <c:lblOffset val="100"/>
        <c:noMultiLvlLbl val="0"/>
      </c:catAx>
      <c:valAx>
        <c:axId val="866377967"/>
        <c:scaling>
          <c:orientation val="minMax"/>
        </c:scaling>
        <c:delete val="1"/>
        <c:axPos val="l"/>
        <c:numFmt formatCode="0.0%" sourceLinked="1"/>
        <c:majorTickMark val="out"/>
        <c:minorTickMark val="none"/>
        <c:tickLblPos val="nextTo"/>
        <c:crossAx val="866377135"/>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snap'!$B$78</c:f>
              <c:strCache>
                <c:ptCount val="1"/>
                <c:pt idx="0">
                  <c:v>Implied net interest expense (as NU discloses)</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snap'!$F$77:$O$77</c:f>
              <c:strCache>
                <c:ptCount val="7"/>
                <c:pt idx="0">
                  <c:v>Q1 22</c:v>
                </c:pt>
                <c:pt idx="1">
                  <c:v>Q2 22e</c:v>
                </c:pt>
                <c:pt idx="2">
                  <c:v>Q3 22</c:v>
                </c:pt>
                <c:pt idx="3">
                  <c:v>Q4 22</c:v>
                </c:pt>
                <c:pt idx="5">
                  <c:v>Q1 23</c:v>
                </c:pt>
                <c:pt idx="6">
                  <c:v>Q2 23</c:v>
                </c:pt>
              </c:strCache>
            </c:strRef>
          </c:cat>
          <c:val>
            <c:numRef>
              <c:f>'Earnings snap'!$F$78:$O$78</c:f>
              <c:numCache>
                <c:formatCode>0%</c:formatCode>
                <c:ptCount val="7"/>
                <c:pt idx="0">
                  <c:v>0.98</c:v>
                </c:pt>
                <c:pt idx="1">
                  <c:v>0.98</c:v>
                </c:pt>
                <c:pt idx="2">
                  <c:v>0.95</c:v>
                </c:pt>
                <c:pt idx="3">
                  <c:v>0.78</c:v>
                </c:pt>
                <c:pt idx="5">
                  <c:v>0.81</c:v>
                </c:pt>
                <c:pt idx="6" formatCode="0.0%">
                  <c:v>0.8</c:v>
                </c:pt>
              </c:numCache>
            </c:numRef>
          </c:val>
          <c:smooth val="0"/>
          <c:extLst>
            <c:ext xmlns:c16="http://schemas.microsoft.com/office/drawing/2014/chart" uri="{C3380CC4-5D6E-409C-BE32-E72D297353CC}">
              <c16:uniqueId val="{00000000-E20F-407E-B988-3A5558DB6B34}"/>
            </c:ext>
          </c:extLst>
        </c:ser>
        <c:dLbls>
          <c:showLegendKey val="0"/>
          <c:showVal val="0"/>
          <c:showCatName val="0"/>
          <c:showSerName val="0"/>
          <c:showPercent val="0"/>
          <c:showBubbleSize val="0"/>
        </c:dLbls>
        <c:smooth val="0"/>
        <c:axId val="1389562240"/>
        <c:axId val="1389559744"/>
      </c:lineChart>
      <c:catAx>
        <c:axId val="138956224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389559744"/>
        <c:crosses val="autoZero"/>
        <c:auto val="1"/>
        <c:lblAlgn val="ctr"/>
        <c:lblOffset val="100"/>
        <c:noMultiLvlLbl val="0"/>
      </c:catAx>
      <c:valAx>
        <c:axId val="1389559744"/>
        <c:scaling>
          <c:orientation val="minMax"/>
        </c:scaling>
        <c:delete val="1"/>
        <c:axPos val="l"/>
        <c:numFmt formatCode="0%" sourceLinked="1"/>
        <c:majorTickMark val="out"/>
        <c:minorTickMark val="none"/>
        <c:tickLblPos val="nextTo"/>
        <c:crossAx val="138956224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Analysis!$B$52</c:f>
              <c:strCache>
                <c:ptCount val="1"/>
                <c:pt idx="0">
                  <c:v>Banco Inter</c:v>
                </c:pt>
              </c:strCache>
            </c:strRef>
          </c:tx>
          <c:spPr>
            <a:ln w="25400" cap="rnd">
              <a:solidFill>
                <a:srgbClr val="99CCFF"/>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Analysis!$C$44:$E$44</c:f>
              <c:numCache>
                <c:formatCode>General</c:formatCode>
                <c:ptCount val="3"/>
                <c:pt idx="0">
                  <c:v>2018</c:v>
                </c:pt>
                <c:pt idx="1">
                  <c:v>2019</c:v>
                </c:pt>
                <c:pt idx="2">
                  <c:v>2020</c:v>
                </c:pt>
              </c:numCache>
            </c:numRef>
          </c:cat>
          <c:val>
            <c:numRef>
              <c:f>Analysis!$C$52:$E$52</c:f>
              <c:numCache>
                <c:formatCode>0%</c:formatCode>
                <c:ptCount val="3"/>
                <c:pt idx="0">
                  <c:v>0.86138473327790932</c:v>
                </c:pt>
                <c:pt idx="1">
                  <c:v>0.71284860130865313</c:v>
                </c:pt>
                <c:pt idx="2">
                  <c:v>0.51998887314299169</c:v>
                </c:pt>
              </c:numCache>
            </c:numRef>
          </c:val>
          <c:smooth val="0"/>
          <c:extLst>
            <c:ext xmlns:c16="http://schemas.microsoft.com/office/drawing/2014/chart" uri="{C3380CC4-5D6E-409C-BE32-E72D297353CC}">
              <c16:uniqueId val="{00000000-719A-4DC9-9AAB-D1704BE42DB7}"/>
            </c:ext>
          </c:extLst>
        </c:ser>
        <c:ser>
          <c:idx val="1"/>
          <c:order val="1"/>
          <c:tx>
            <c:strRef>
              <c:f>Analysis!$B$53</c:f>
              <c:strCache>
                <c:ptCount val="1"/>
                <c:pt idx="0">
                  <c:v>Nubank</c:v>
                </c:pt>
              </c:strCache>
            </c:strRef>
          </c:tx>
          <c:spPr>
            <a:ln w="25400" cap="rnd">
              <a:solidFill>
                <a:srgbClr val="333399"/>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Analysis!$C$44:$E$44</c:f>
              <c:numCache>
                <c:formatCode>General</c:formatCode>
                <c:ptCount val="3"/>
                <c:pt idx="0">
                  <c:v>2018</c:v>
                </c:pt>
                <c:pt idx="1">
                  <c:v>2019</c:v>
                </c:pt>
                <c:pt idx="2">
                  <c:v>2020</c:v>
                </c:pt>
              </c:numCache>
            </c:numRef>
          </c:cat>
          <c:val>
            <c:numRef>
              <c:f>Analysis!$C$53:$E$53</c:f>
              <c:numCache>
                <c:formatCode>0%</c:formatCode>
                <c:ptCount val="3"/>
                <c:pt idx="0">
                  <c:v>0.41870506662861157</c:v>
                </c:pt>
                <c:pt idx="1">
                  <c:v>0.81925299077850455</c:v>
                </c:pt>
                <c:pt idx="2">
                  <c:v>0.76056448712463331</c:v>
                </c:pt>
              </c:numCache>
            </c:numRef>
          </c:val>
          <c:smooth val="0"/>
          <c:extLst>
            <c:ext xmlns:c16="http://schemas.microsoft.com/office/drawing/2014/chart" uri="{C3380CC4-5D6E-409C-BE32-E72D297353CC}">
              <c16:uniqueId val="{00000001-719A-4DC9-9AAB-D1704BE42DB7}"/>
            </c:ext>
          </c:extLst>
        </c:ser>
        <c:dLbls>
          <c:showLegendKey val="0"/>
          <c:showVal val="0"/>
          <c:showCatName val="0"/>
          <c:showSerName val="0"/>
          <c:showPercent val="0"/>
          <c:showBubbleSize val="0"/>
        </c:dLbls>
        <c:smooth val="0"/>
        <c:axId val="766269552"/>
        <c:axId val="766259568"/>
      </c:lineChart>
      <c:catAx>
        <c:axId val="7662695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66259568"/>
        <c:crosses val="autoZero"/>
        <c:auto val="1"/>
        <c:lblAlgn val="ctr"/>
        <c:lblOffset val="100"/>
        <c:noMultiLvlLbl val="0"/>
      </c:catAx>
      <c:valAx>
        <c:axId val="766259568"/>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6626955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snap'!$B$71</c:f>
              <c:strCache>
                <c:ptCount val="1"/>
                <c:pt idx="0">
                  <c:v>Gross profit margin</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snap'!$C$70:$N$70</c:f>
              <c:strCache>
                <c:ptCount val="7"/>
                <c:pt idx="0">
                  <c:v>Q1 22</c:v>
                </c:pt>
                <c:pt idx="1">
                  <c:v>Q2 22</c:v>
                </c:pt>
                <c:pt idx="2">
                  <c:v>Q3 22</c:v>
                </c:pt>
                <c:pt idx="3">
                  <c:v>Q4 22</c:v>
                </c:pt>
                <c:pt idx="5">
                  <c:v>Q1 23</c:v>
                </c:pt>
                <c:pt idx="6">
                  <c:v>Q2 23</c:v>
                </c:pt>
              </c:strCache>
            </c:strRef>
          </c:cat>
          <c:val>
            <c:numRef>
              <c:f>'Earnings snap'!$C$71:$N$71</c:f>
              <c:numCache>
                <c:formatCode>0.0%</c:formatCode>
                <c:ptCount val="7"/>
                <c:pt idx="0">
                  <c:v>0.33523887254393481</c:v>
                </c:pt>
                <c:pt idx="1">
                  <c:v>0.31405083619783325</c:v>
                </c:pt>
                <c:pt idx="2">
                  <c:v>0.32672737011247999</c:v>
                </c:pt>
                <c:pt idx="3">
                  <c:v>0.39956159947926995</c:v>
                </c:pt>
                <c:pt idx="5">
                  <c:v>0.40305933934483157</c:v>
                </c:pt>
                <c:pt idx="6">
                  <c:v>0.41849513004388317</c:v>
                </c:pt>
              </c:numCache>
            </c:numRef>
          </c:val>
          <c:smooth val="0"/>
          <c:extLst>
            <c:ext xmlns:c16="http://schemas.microsoft.com/office/drawing/2014/chart" uri="{C3380CC4-5D6E-409C-BE32-E72D297353CC}">
              <c16:uniqueId val="{00000000-0906-4551-990F-23374E7116BC}"/>
            </c:ext>
          </c:extLst>
        </c:ser>
        <c:dLbls>
          <c:showLegendKey val="0"/>
          <c:showVal val="0"/>
          <c:showCatName val="0"/>
          <c:showSerName val="0"/>
          <c:showPercent val="0"/>
          <c:showBubbleSize val="0"/>
        </c:dLbls>
        <c:smooth val="0"/>
        <c:axId val="1389562240"/>
        <c:axId val="1389559744"/>
      </c:lineChart>
      <c:catAx>
        <c:axId val="138956224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389559744"/>
        <c:crosses val="autoZero"/>
        <c:auto val="1"/>
        <c:lblAlgn val="ctr"/>
        <c:lblOffset val="100"/>
        <c:noMultiLvlLbl val="0"/>
      </c:catAx>
      <c:valAx>
        <c:axId val="1389559744"/>
        <c:scaling>
          <c:orientation val="minMax"/>
        </c:scaling>
        <c:delete val="1"/>
        <c:axPos val="l"/>
        <c:numFmt formatCode="0.0%" sourceLinked="1"/>
        <c:majorTickMark val="out"/>
        <c:minorTickMark val="none"/>
        <c:tickLblPos val="nextTo"/>
        <c:crossAx val="138956224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snap'!$B$55</c:f>
              <c:strCache>
                <c:ptCount val="1"/>
                <c:pt idx="0">
                  <c:v>Implied interest yield (total portfolio)</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snap'!$E$54:$N$54</c:f>
              <c:strCache>
                <c:ptCount val="7"/>
                <c:pt idx="0">
                  <c:v>Q2 22</c:v>
                </c:pt>
                <c:pt idx="1">
                  <c:v>Q3 22</c:v>
                </c:pt>
                <c:pt idx="2">
                  <c:v>Q4 22</c:v>
                </c:pt>
                <c:pt idx="3">
                  <c:v>Q1 23</c:v>
                </c:pt>
                <c:pt idx="5">
                  <c:v>Q2 23</c:v>
                </c:pt>
                <c:pt idx="6">
                  <c:v>Q3 23</c:v>
                </c:pt>
              </c:strCache>
            </c:strRef>
          </c:cat>
          <c:val>
            <c:numRef>
              <c:f>'Earnings snap'!$E$55:$N$55</c:f>
              <c:numCache>
                <c:formatCode>0.0%</c:formatCode>
                <c:ptCount val="7"/>
                <c:pt idx="0">
                  <c:v>0.38030472845212815</c:v>
                </c:pt>
                <c:pt idx="1">
                  <c:v>0.41926065975164017</c:v>
                </c:pt>
                <c:pt idx="2">
                  <c:v>0.41775288813434647</c:v>
                </c:pt>
                <c:pt idx="3">
                  <c:v>0.41731964931233639</c:v>
                </c:pt>
                <c:pt idx="5">
                  <c:v>0.43383458646616541</c:v>
                </c:pt>
                <c:pt idx="6">
                  <c:v>0.45760698768148589</c:v>
                </c:pt>
              </c:numCache>
            </c:numRef>
          </c:val>
          <c:smooth val="0"/>
          <c:extLst>
            <c:ext xmlns:c16="http://schemas.microsoft.com/office/drawing/2014/chart" uri="{C3380CC4-5D6E-409C-BE32-E72D297353CC}">
              <c16:uniqueId val="{00000000-CF1F-419D-B38C-234EC10FEC34}"/>
            </c:ext>
          </c:extLst>
        </c:ser>
        <c:dLbls>
          <c:showLegendKey val="0"/>
          <c:showVal val="0"/>
          <c:showCatName val="0"/>
          <c:showSerName val="0"/>
          <c:showPercent val="0"/>
          <c:showBubbleSize val="0"/>
        </c:dLbls>
        <c:smooth val="0"/>
        <c:axId val="18651279"/>
        <c:axId val="18650863"/>
      </c:lineChart>
      <c:catAx>
        <c:axId val="1865127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8650863"/>
        <c:crosses val="autoZero"/>
        <c:auto val="1"/>
        <c:lblAlgn val="ctr"/>
        <c:lblOffset val="100"/>
        <c:noMultiLvlLbl val="0"/>
      </c:catAx>
      <c:valAx>
        <c:axId val="18650863"/>
        <c:scaling>
          <c:orientation val="minMax"/>
        </c:scaling>
        <c:delete val="1"/>
        <c:axPos val="l"/>
        <c:numFmt formatCode="0.0%" sourceLinked="1"/>
        <c:majorTickMark val="out"/>
        <c:minorTickMark val="none"/>
        <c:tickLblPos val="nextTo"/>
        <c:crossAx val="18651279"/>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3445006884316703E-2"/>
          <c:y val="5.5109459536757062E-2"/>
          <c:w val="0.93868415404541938"/>
          <c:h val="0.82047728657905172"/>
        </c:manualLayout>
      </c:layout>
      <c:lineChart>
        <c:grouping val="standard"/>
        <c:varyColors val="0"/>
        <c:ser>
          <c:idx val="0"/>
          <c:order val="0"/>
          <c:tx>
            <c:strRef>
              <c:f>'Earnings snap'!$B$59</c:f>
              <c:strCache>
                <c:ptCount val="1"/>
                <c:pt idx="0">
                  <c:v>Implied interest yield (interest bearing)</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snap'!$E$54:$N$54</c:f>
              <c:strCache>
                <c:ptCount val="7"/>
                <c:pt idx="0">
                  <c:v>Q2 22</c:v>
                </c:pt>
                <c:pt idx="1">
                  <c:v>Q3 22</c:v>
                </c:pt>
                <c:pt idx="2">
                  <c:v>Q4 22</c:v>
                </c:pt>
                <c:pt idx="3">
                  <c:v>Q1 23</c:v>
                </c:pt>
                <c:pt idx="5">
                  <c:v>Q2 23</c:v>
                </c:pt>
                <c:pt idx="6">
                  <c:v>Q3 23</c:v>
                </c:pt>
              </c:strCache>
            </c:strRef>
          </c:cat>
          <c:val>
            <c:numRef>
              <c:f>'Earnings snap'!$E$59:$N$59</c:f>
              <c:numCache>
                <c:formatCode>0.0%</c:formatCode>
                <c:ptCount val="7"/>
                <c:pt idx="0">
                  <c:v>1.0831911111111112</c:v>
                </c:pt>
                <c:pt idx="1">
                  <c:v>1.1788656716417909</c:v>
                </c:pt>
                <c:pt idx="2">
                  <c:v>1.1682602666666666</c:v>
                </c:pt>
                <c:pt idx="3">
                  <c:v>1.0916991304347825</c:v>
                </c:pt>
                <c:pt idx="5">
                  <c:v>1.0436173913043478</c:v>
                </c:pt>
                <c:pt idx="6">
                  <c:v>1.0662763076923076</c:v>
                </c:pt>
              </c:numCache>
            </c:numRef>
          </c:val>
          <c:smooth val="0"/>
          <c:extLst>
            <c:ext xmlns:c16="http://schemas.microsoft.com/office/drawing/2014/chart" uri="{C3380CC4-5D6E-409C-BE32-E72D297353CC}">
              <c16:uniqueId val="{00000000-6501-4C8B-B18D-3EBF5347EA6E}"/>
            </c:ext>
          </c:extLst>
        </c:ser>
        <c:dLbls>
          <c:showLegendKey val="0"/>
          <c:showVal val="0"/>
          <c:showCatName val="0"/>
          <c:showSerName val="0"/>
          <c:showPercent val="0"/>
          <c:showBubbleSize val="0"/>
        </c:dLbls>
        <c:smooth val="0"/>
        <c:axId val="18651279"/>
        <c:axId val="18650863"/>
      </c:lineChart>
      <c:catAx>
        <c:axId val="18651279"/>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8650863"/>
        <c:crosses val="autoZero"/>
        <c:auto val="1"/>
        <c:lblAlgn val="ctr"/>
        <c:lblOffset val="100"/>
        <c:noMultiLvlLbl val="0"/>
      </c:catAx>
      <c:valAx>
        <c:axId val="18650863"/>
        <c:scaling>
          <c:orientation val="minMax"/>
        </c:scaling>
        <c:delete val="1"/>
        <c:axPos val="l"/>
        <c:numFmt formatCode="0.0%" sourceLinked="1"/>
        <c:majorTickMark val="out"/>
        <c:minorTickMark val="none"/>
        <c:tickLblPos val="nextTo"/>
        <c:crossAx val="18651279"/>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snap'!$B$98</c:f>
              <c:strCache>
                <c:ptCount val="1"/>
                <c:pt idx="0">
                  <c:v>NPL +90 day </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snap'!$D$80:$M$80</c:f>
              <c:strCache>
                <c:ptCount val="6"/>
                <c:pt idx="0">
                  <c:v>Q2 22</c:v>
                </c:pt>
                <c:pt idx="1">
                  <c:v>Q3 22</c:v>
                </c:pt>
                <c:pt idx="2">
                  <c:v>Q4 22</c:v>
                </c:pt>
                <c:pt idx="3">
                  <c:v>Q1 23</c:v>
                </c:pt>
                <c:pt idx="4">
                  <c:v>Q2 23</c:v>
                </c:pt>
                <c:pt idx="5">
                  <c:v>Q3 23</c:v>
                </c:pt>
              </c:strCache>
            </c:strRef>
          </c:cat>
          <c:val>
            <c:numRef>
              <c:f>'Earnings snap'!$D$98:$M$98</c:f>
              <c:numCache>
                <c:formatCode>0.0%</c:formatCode>
                <c:ptCount val="6"/>
                <c:pt idx="0">
                  <c:v>4.1000000000000002E-2</c:v>
                </c:pt>
                <c:pt idx="1">
                  <c:v>4.7E-2</c:v>
                </c:pt>
                <c:pt idx="2">
                  <c:v>5.1999999999999998E-2</c:v>
                </c:pt>
                <c:pt idx="3">
                  <c:v>5.5E-2</c:v>
                </c:pt>
                <c:pt idx="4">
                  <c:v>5.8999999999999997E-2</c:v>
                </c:pt>
                <c:pt idx="5">
                  <c:v>6.0999999999999999E-2</c:v>
                </c:pt>
              </c:numCache>
            </c:numRef>
          </c:val>
          <c:smooth val="0"/>
          <c:extLst>
            <c:ext xmlns:c16="http://schemas.microsoft.com/office/drawing/2014/chart" uri="{C3380CC4-5D6E-409C-BE32-E72D297353CC}">
              <c16:uniqueId val="{00000000-4444-409D-9DF2-8E9C5CFD89FC}"/>
            </c:ext>
          </c:extLst>
        </c:ser>
        <c:ser>
          <c:idx val="1"/>
          <c:order val="1"/>
          <c:tx>
            <c:strRef>
              <c:f>'Earnings snap'!$B$99</c:f>
              <c:strCache>
                <c:ptCount val="1"/>
                <c:pt idx="0">
                  <c:v>NPL 15-90 day</c:v>
                </c:pt>
              </c:strCache>
            </c:strRef>
          </c:tx>
          <c:spPr>
            <a:ln w="25400" cap="rnd">
              <a:solidFill>
                <a:srgbClr val="799098"/>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snap'!$D$80:$M$80</c:f>
              <c:strCache>
                <c:ptCount val="6"/>
                <c:pt idx="0">
                  <c:v>Q2 22</c:v>
                </c:pt>
                <c:pt idx="1">
                  <c:v>Q3 22</c:v>
                </c:pt>
                <c:pt idx="2">
                  <c:v>Q4 22</c:v>
                </c:pt>
                <c:pt idx="3">
                  <c:v>Q1 23</c:v>
                </c:pt>
                <c:pt idx="4">
                  <c:v>Q2 23</c:v>
                </c:pt>
                <c:pt idx="5">
                  <c:v>Q3 23</c:v>
                </c:pt>
              </c:strCache>
            </c:strRef>
          </c:cat>
          <c:val>
            <c:numRef>
              <c:f>'Earnings snap'!$D$99:$M$99</c:f>
              <c:numCache>
                <c:formatCode>0.0%</c:formatCode>
                <c:ptCount val="6"/>
                <c:pt idx="0">
                  <c:v>3.5999999999999997E-2</c:v>
                </c:pt>
                <c:pt idx="1">
                  <c:v>4.2000000000000003E-2</c:v>
                </c:pt>
                <c:pt idx="2">
                  <c:v>3.6999999999999998E-2</c:v>
                </c:pt>
                <c:pt idx="3">
                  <c:v>4.3999999999999997E-2</c:v>
                </c:pt>
                <c:pt idx="4">
                  <c:v>4.2999999999999997E-2</c:v>
                </c:pt>
                <c:pt idx="5">
                  <c:v>4.2000000000000003E-2</c:v>
                </c:pt>
              </c:numCache>
            </c:numRef>
          </c:val>
          <c:smooth val="0"/>
          <c:extLst>
            <c:ext xmlns:c16="http://schemas.microsoft.com/office/drawing/2014/chart" uri="{C3380CC4-5D6E-409C-BE32-E72D297353CC}">
              <c16:uniqueId val="{00000001-4444-409D-9DF2-8E9C5CFD89FC}"/>
            </c:ext>
          </c:extLst>
        </c:ser>
        <c:dLbls>
          <c:showLegendKey val="0"/>
          <c:showVal val="0"/>
          <c:showCatName val="0"/>
          <c:showSerName val="0"/>
          <c:showPercent val="0"/>
          <c:showBubbleSize val="0"/>
        </c:dLbls>
        <c:smooth val="0"/>
        <c:axId val="56202432"/>
        <c:axId val="56204928"/>
      </c:lineChart>
      <c:catAx>
        <c:axId val="5620243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56204928"/>
        <c:crosses val="autoZero"/>
        <c:auto val="1"/>
        <c:lblAlgn val="ctr"/>
        <c:lblOffset val="100"/>
        <c:noMultiLvlLbl val="0"/>
      </c:catAx>
      <c:valAx>
        <c:axId val="56204928"/>
        <c:scaling>
          <c:orientation val="minMax"/>
        </c:scaling>
        <c:delete val="1"/>
        <c:axPos val="l"/>
        <c:numFmt formatCode="0.0%" sourceLinked="1"/>
        <c:majorTickMark val="out"/>
        <c:minorTickMark val="none"/>
        <c:tickLblPos val="nextTo"/>
        <c:crossAx val="5620243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snap'!$B$71</c:f>
              <c:strCache>
                <c:ptCount val="1"/>
                <c:pt idx="0">
                  <c:v>Gross profit margin</c:v>
                </c:pt>
              </c:strCache>
            </c:strRef>
          </c:tx>
          <c:spPr>
            <a:ln w="25400" cap="rnd">
              <a:solidFill>
                <a:srgbClr val="263238"/>
              </a:solidFill>
              <a:prstDash val="solid"/>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snap'!$C$70:$M$70</c:f>
              <c:strCache>
                <c:ptCount val="6"/>
                <c:pt idx="0">
                  <c:v>Q1 22</c:v>
                </c:pt>
                <c:pt idx="1">
                  <c:v>Q2 22</c:v>
                </c:pt>
                <c:pt idx="2">
                  <c:v>Q3 22</c:v>
                </c:pt>
                <c:pt idx="3">
                  <c:v>Q4 22</c:v>
                </c:pt>
                <c:pt idx="5">
                  <c:v>Q1 23</c:v>
                </c:pt>
              </c:strCache>
            </c:strRef>
          </c:cat>
          <c:val>
            <c:numRef>
              <c:f>'Earnings snap'!$C$71:$M$71</c:f>
              <c:numCache>
                <c:formatCode>0.0%</c:formatCode>
                <c:ptCount val="6"/>
                <c:pt idx="0">
                  <c:v>0.33523887254393481</c:v>
                </c:pt>
                <c:pt idx="1">
                  <c:v>0.31405083619783325</c:v>
                </c:pt>
                <c:pt idx="2">
                  <c:v>0.32672737011247999</c:v>
                </c:pt>
                <c:pt idx="3">
                  <c:v>0.39956159947926995</c:v>
                </c:pt>
                <c:pt idx="5">
                  <c:v>0.40305933934483157</c:v>
                </c:pt>
              </c:numCache>
            </c:numRef>
          </c:val>
          <c:smooth val="0"/>
          <c:extLst>
            <c:ext xmlns:c16="http://schemas.microsoft.com/office/drawing/2014/chart" uri="{C3380CC4-5D6E-409C-BE32-E72D297353CC}">
              <c16:uniqueId val="{00000000-3166-47FE-AEE1-2C37DF464D4A}"/>
            </c:ext>
          </c:extLst>
        </c:ser>
        <c:dLbls>
          <c:showLegendKey val="0"/>
          <c:showVal val="0"/>
          <c:showCatName val="0"/>
          <c:showSerName val="0"/>
          <c:showPercent val="0"/>
          <c:showBubbleSize val="0"/>
        </c:dLbls>
        <c:smooth val="0"/>
        <c:axId val="1389562240"/>
        <c:axId val="1389559744"/>
      </c:lineChart>
      <c:catAx>
        <c:axId val="138956224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Roboto" panose="02000000000000000000" pitchFamily="2" charset="0"/>
                <a:ea typeface="Roboto" panose="02000000000000000000" pitchFamily="2" charset="0"/>
                <a:cs typeface="Helvetica Neue"/>
              </a:defRPr>
            </a:pPr>
            <a:endParaRPr lang="en-US"/>
          </a:p>
        </c:txPr>
        <c:crossAx val="1389559744"/>
        <c:crosses val="autoZero"/>
        <c:auto val="1"/>
        <c:lblAlgn val="ctr"/>
        <c:lblOffset val="100"/>
        <c:noMultiLvlLbl val="0"/>
      </c:catAx>
      <c:valAx>
        <c:axId val="1389559744"/>
        <c:scaling>
          <c:orientation val="minMax"/>
        </c:scaling>
        <c:delete val="1"/>
        <c:axPos val="l"/>
        <c:numFmt formatCode="0.0%" sourceLinked="1"/>
        <c:majorTickMark val="out"/>
        <c:minorTickMark val="none"/>
        <c:tickLblPos val="nextTo"/>
        <c:crossAx val="1389562240"/>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Roboto" panose="02000000000000000000" pitchFamily="2" charset="0"/>
          <a:ea typeface="Roboto" panose="02000000000000000000" pitchFamily="2" charset="0"/>
          <a:cs typeface="Helvetica Neue"/>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snap'!$AB$8</c:f>
              <c:strCache>
                <c:ptCount val="1"/>
                <c:pt idx="0">
                  <c:v>Banco Inter</c:v>
                </c:pt>
              </c:strCache>
            </c:strRef>
          </c:tx>
          <c:spPr>
            <a:ln w="25400" cap="rnd">
              <a:solidFill>
                <a:srgbClr val="263238"/>
              </a:solidFill>
              <a:prstDash val="solid"/>
              <a:round/>
            </a:ln>
            <a:effectLst/>
          </c:spPr>
          <c:marker>
            <c:symbol val="none"/>
          </c:marker>
          <c:cat>
            <c:strRef>
              <c:f>'Earnings snap'!$AM$7:$AT$7</c:f>
              <c:strCache>
                <c:ptCount val="8"/>
                <c:pt idx="0">
                  <c:v>Q3 21</c:v>
                </c:pt>
                <c:pt idx="1">
                  <c:v>Q4 21</c:v>
                </c:pt>
                <c:pt idx="2">
                  <c:v>Q1 22</c:v>
                </c:pt>
                <c:pt idx="3">
                  <c:v>Q2 22</c:v>
                </c:pt>
                <c:pt idx="4">
                  <c:v>Q3 22</c:v>
                </c:pt>
                <c:pt idx="5">
                  <c:v>Q4 22</c:v>
                </c:pt>
                <c:pt idx="6">
                  <c:v>Q1 23</c:v>
                </c:pt>
                <c:pt idx="7">
                  <c:v>Q2 23</c:v>
                </c:pt>
              </c:strCache>
            </c:strRef>
          </c:cat>
          <c:val>
            <c:numRef>
              <c:f>'Earnings snap'!$AM$8:$AT$8</c:f>
              <c:numCache>
                <c:formatCode>0.0%</c:formatCode>
                <c:ptCount val="8"/>
                <c:pt idx="0">
                  <c:v>2.842553172693282E-2</c:v>
                </c:pt>
                <c:pt idx="1">
                  <c:v>2.842553172693282E-2</c:v>
                </c:pt>
                <c:pt idx="2">
                  <c:v>3.3000000000000002E-2</c:v>
                </c:pt>
                <c:pt idx="3">
                  <c:v>3.8745027931325456E-2</c:v>
                </c:pt>
                <c:pt idx="4">
                  <c:v>3.9935733007072323E-2</c:v>
                </c:pt>
                <c:pt idx="5">
                  <c:v>4.4035058258035567E-2</c:v>
                </c:pt>
                <c:pt idx="6">
                  <c:v>4.6662962679196812E-2</c:v>
                </c:pt>
                <c:pt idx="7">
                  <c:v>4.9425852547570676E-2</c:v>
                </c:pt>
              </c:numCache>
            </c:numRef>
          </c:val>
          <c:smooth val="0"/>
          <c:extLst>
            <c:ext xmlns:c16="http://schemas.microsoft.com/office/drawing/2014/chart" uri="{C3380CC4-5D6E-409C-BE32-E72D297353CC}">
              <c16:uniqueId val="{00000000-CAC8-4A1C-AAA9-AE5C1C31D4AE}"/>
            </c:ext>
          </c:extLst>
        </c:ser>
        <c:ser>
          <c:idx val="1"/>
          <c:order val="1"/>
          <c:tx>
            <c:strRef>
              <c:f>'Earnings snap'!$AB$9</c:f>
              <c:strCache>
                <c:ptCount val="1"/>
                <c:pt idx="0">
                  <c:v>Nubank</c:v>
                </c:pt>
              </c:strCache>
            </c:strRef>
          </c:tx>
          <c:spPr>
            <a:ln w="25400" cap="rnd">
              <a:solidFill>
                <a:srgbClr val="799098"/>
              </a:solidFill>
              <a:prstDash val="solid"/>
              <a:round/>
            </a:ln>
            <a:effectLst/>
          </c:spPr>
          <c:marker>
            <c:symbol val="none"/>
          </c:marker>
          <c:cat>
            <c:strRef>
              <c:f>'Earnings snap'!$AM$7:$AT$7</c:f>
              <c:strCache>
                <c:ptCount val="8"/>
                <c:pt idx="0">
                  <c:v>Q3 21</c:v>
                </c:pt>
                <c:pt idx="1">
                  <c:v>Q4 21</c:v>
                </c:pt>
                <c:pt idx="2">
                  <c:v>Q1 22</c:v>
                </c:pt>
                <c:pt idx="3">
                  <c:v>Q2 22</c:v>
                </c:pt>
                <c:pt idx="4">
                  <c:v>Q3 22</c:v>
                </c:pt>
                <c:pt idx="5">
                  <c:v>Q4 22</c:v>
                </c:pt>
                <c:pt idx="6">
                  <c:v>Q1 23</c:v>
                </c:pt>
                <c:pt idx="7">
                  <c:v>Q2 23</c:v>
                </c:pt>
              </c:strCache>
            </c:strRef>
          </c:cat>
          <c:val>
            <c:numRef>
              <c:f>'Earnings snap'!$AM$9:$AT$9</c:f>
              <c:numCache>
                <c:formatCode>0.0%</c:formatCode>
                <c:ptCount val="8"/>
                <c:pt idx="0">
                  <c:v>3.2000000000000001E-2</c:v>
                </c:pt>
                <c:pt idx="1">
                  <c:v>3.1E-2</c:v>
                </c:pt>
                <c:pt idx="2">
                  <c:v>3.5000000000000003E-2</c:v>
                </c:pt>
                <c:pt idx="3">
                  <c:v>4.1000000000000002E-2</c:v>
                </c:pt>
                <c:pt idx="4">
                  <c:v>4.7E-2</c:v>
                </c:pt>
                <c:pt idx="5">
                  <c:v>5.1999999999999998E-2</c:v>
                </c:pt>
                <c:pt idx="6">
                  <c:v>5.5E-2</c:v>
                </c:pt>
                <c:pt idx="7">
                  <c:v>5.8999999999999997E-2</c:v>
                </c:pt>
              </c:numCache>
            </c:numRef>
          </c:val>
          <c:smooth val="0"/>
          <c:extLst>
            <c:ext xmlns:c16="http://schemas.microsoft.com/office/drawing/2014/chart" uri="{C3380CC4-5D6E-409C-BE32-E72D297353CC}">
              <c16:uniqueId val="{00000001-CAC8-4A1C-AAA9-AE5C1C31D4AE}"/>
            </c:ext>
          </c:extLst>
        </c:ser>
        <c:ser>
          <c:idx val="2"/>
          <c:order val="2"/>
          <c:tx>
            <c:strRef>
              <c:f>'Earnings snap'!$AB$10</c:f>
              <c:strCache>
                <c:ptCount val="1"/>
                <c:pt idx="0">
                  <c:v>Banco Pan</c:v>
                </c:pt>
              </c:strCache>
            </c:strRef>
          </c:tx>
          <c:spPr>
            <a:ln w="25400" cap="rnd">
              <a:solidFill>
                <a:srgbClr val="F9663E"/>
              </a:solidFill>
              <a:prstDash val="solid"/>
              <a:round/>
            </a:ln>
            <a:effectLst/>
          </c:spPr>
          <c:marker>
            <c:symbol val="none"/>
          </c:marker>
          <c:cat>
            <c:strRef>
              <c:f>'Earnings snap'!$AM$7:$AT$7</c:f>
              <c:strCache>
                <c:ptCount val="8"/>
                <c:pt idx="0">
                  <c:v>Q3 21</c:v>
                </c:pt>
                <c:pt idx="1">
                  <c:v>Q4 21</c:v>
                </c:pt>
                <c:pt idx="2">
                  <c:v>Q1 22</c:v>
                </c:pt>
                <c:pt idx="3">
                  <c:v>Q2 22</c:v>
                </c:pt>
                <c:pt idx="4">
                  <c:v>Q3 22</c:v>
                </c:pt>
                <c:pt idx="5">
                  <c:v>Q4 22</c:v>
                </c:pt>
                <c:pt idx="6">
                  <c:v>Q1 23</c:v>
                </c:pt>
                <c:pt idx="7">
                  <c:v>Q2 23</c:v>
                </c:pt>
              </c:strCache>
            </c:strRef>
          </c:cat>
          <c:val>
            <c:numRef>
              <c:f>'Earnings snap'!$AM$10:$AT$10</c:f>
              <c:numCache>
                <c:formatCode>0.0%</c:formatCode>
                <c:ptCount val="8"/>
                <c:pt idx="0">
                  <c:v>5.8000000000000003E-2</c:v>
                </c:pt>
                <c:pt idx="1">
                  <c:v>6.3E-2</c:v>
                </c:pt>
                <c:pt idx="2">
                  <c:v>6.8000000000000005E-2</c:v>
                </c:pt>
                <c:pt idx="3">
                  <c:v>6.7000000000000004E-2</c:v>
                </c:pt>
                <c:pt idx="4">
                  <c:v>6.8378363248561586E-2</c:v>
                </c:pt>
                <c:pt idx="5">
                  <c:v>7.0999999999999994E-2</c:v>
                </c:pt>
                <c:pt idx="6">
                  <c:v>7.1999999999999995E-2</c:v>
                </c:pt>
                <c:pt idx="7">
                  <c:v>0.08</c:v>
                </c:pt>
              </c:numCache>
            </c:numRef>
          </c:val>
          <c:smooth val="0"/>
          <c:extLst>
            <c:ext xmlns:c16="http://schemas.microsoft.com/office/drawing/2014/chart" uri="{C3380CC4-5D6E-409C-BE32-E72D297353CC}">
              <c16:uniqueId val="{00000002-CAC8-4A1C-AAA9-AE5C1C31D4AE}"/>
            </c:ext>
          </c:extLst>
        </c:ser>
        <c:ser>
          <c:idx val="3"/>
          <c:order val="3"/>
          <c:tx>
            <c:strRef>
              <c:f>'Earnings snap'!$AB$11</c:f>
              <c:strCache>
                <c:ptCount val="1"/>
                <c:pt idx="0">
                  <c:v>Itau</c:v>
                </c:pt>
              </c:strCache>
            </c:strRef>
          </c:tx>
          <c:spPr>
            <a:ln w="25400" cap="rnd">
              <a:solidFill>
                <a:srgbClr val="C7FE02"/>
              </a:solidFill>
              <a:prstDash val="solid"/>
              <a:round/>
            </a:ln>
            <a:effectLst/>
          </c:spPr>
          <c:marker>
            <c:symbol val="none"/>
          </c:marker>
          <c:cat>
            <c:strRef>
              <c:f>'Earnings snap'!$AM$7:$AT$7</c:f>
              <c:strCache>
                <c:ptCount val="8"/>
                <c:pt idx="0">
                  <c:v>Q3 21</c:v>
                </c:pt>
                <c:pt idx="1">
                  <c:v>Q4 21</c:v>
                </c:pt>
                <c:pt idx="2">
                  <c:v>Q1 22</c:v>
                </c:pt>
                <c:pt idx="3">
                  <c:v>Q2 22</c:v>
                </c:pt>
                <c:pt idx="4">
                  <c:v>Q3 22</c:v>
                </c:pt>
                <c:pt idx="5">
                  <c:v>Q4 22</c:v>
                </c:pt>
                <c:pt idx="6">
                  <c:v>Q1 23</c:v>
                </c:pt>
                <c:pt idx="7">
                  <c:v>Q2 23</c:v>
                </c:pt>
              </c:strCache>
            </c:strRef>
          </c:cat>
          <c:val>
            <c:numRef>
              <c:f>'Earnings snap'!$AM$11:$AT$11</c:f>
              <c:numCache>
                <c:formatCode>0.0%</c:formatCode>
                <c:ptCount val="8"/>
                <c:pt idx="0">
                  <c:v>2.81E-2</c:v>
                </c:pt>
                <c:pt idx="1">
                  <c:v>2.75E-2</c:v>
                </c:pt>
                <c:pt idx="2">
                  <c:v>2.93E-2</c:v>
                </c:pt>
                <c:pt idx="3">
                  <c:v>3.04E-2</c:v>
                </c:pt>
                <c:pt idx="4">
                  <c:v>3.2399999999999998E-2</c:v>
                </c:pt>
                <c:pt idx="5">
                  <c:v>3.4200000000000001E-2</c:v>
                </c:pt>
                <c:pt idx="6">
                  <c:v>3.39E-2</c:v>
                </c:pt>
                <c:pt idx="7">
                  <c:v>3.5000000000000003E-2</c:v>
                </c:pt>
              </c:numCache>
            </c:numRef>
          </c:val>
          <c:smooth val="0"/>
          <c:extLst>
            <c:ext xmlns:c16="http://schemas.microsoft.com/office/drawing/2014/chart" uri="{C3380CC4-5D6E-409C-BE32-E72D297353CC}">
              <c16:uniqueId val="{00000003-CAC8-4A1C-AAA9-AE5C1C31D4AE}"/>
            </c:ext>
          </c:extLst>
        </c:ser>
        <c:ser>
          <c:idx val="4"/>
          <c:order val="4"/>
          <c:tx>
            <c:strRef>
              <c:f>'Earnings snap'!$AB$12</c:f>
              <c:strCache>
                <c:ptCount val="1"/>
                <c:pt idx="0">
                  <c:v>Bradesco</c:v>
                </c:pt>
              </c:strCache>
            </c:strRef>
          </c:tx>
          <c:spPr>
            <a:ln w="25400" cap="rnd">
              <a:solidFill>
                <a:srgbClr val="00C994"/>
              </a:solidFill>
              <a:prstDash val="solid"/>
              <a:round/>
            </a:ln>
            <a:effectLst/>
          </c:spPr>
          <c:marker>
            <c:symbol val="none"/>
          </c:marker>
          <c:cat>
            <c:strRef>
              <c:f>'Earnings snap'!$AM$7:$AT$7</c:f>
              <c:strCache>
                <c:ptCount val="8"/>
                <c:pt idx="0">
                  <c:v>Q3 21</c:v>
                </c:pt>
                <c:pt idx="1">
                  <c:v>Q4 21</c:v>
                </c:pt>
                <c:pt idx="2">
                  <c:v>Q1 22</c:v>
                </c:pt>
                <c:pt idx="3">
                  <c:v>Q2 22</c:v>
                </c:pt>
                <c:pt idx="4">
                  <c:v>Q3 22</c:v>
                </c:pt>
                <c:pt idx="5">
                  <c:v>Q4 22</c:v>
                </c:pt>
                <c:pt idx="6">
                  <c:v>Q1 23</c:v>
                </c:pt>
                <c:pt idx="7">
                  <c:v>Q2 23</c:v>
                </c:pt>
              </c:strCache>
            </c:strRef>
          </c:cat>
          <c:val>
            <c:numRef>
              <c:f>'Earnings snap'!$AM$12:$AT$12</c:f>
              <c:numCache>
                <c:formatCode>0.0%</c:formatCode>
                <c:ptCount val="8"/>
                <c:pt idx="0">
                  <c:v>2.6000000000000002E-2</c:v>
                </c:pt>
                <c:pt idx="1">
                  <c:v>2.7999999999999997E-2</c:v>
                </c:pt>
                <c:pt idx="2">
                  <c:v>3.2099999999999997E-2</c:v>
                </c:pt>
                <c:pt idx="3">
                  <c:v>3.5000000000000003E-2</c:v>
                </c:pt>
                <c:pt idx="4">
                  <c:v>3.9E-2</c:v>
                </c:pt>
                <c:pt idx="5">
                  <c:v>4.2999999999999997E-2</c:v>
                </c:pt>
                <c:pt idx="6">
                  <c:v>5.0999999999999997E-2</c:v>
                </c:pt>
                <c:pt idx="7">
                  <c:v>5.8999999999999997E-2</c:v>
                </c:pt>
              </c:numCache>
            </c:numRef>
          </c:val>
          <c:smooth val="0"/>
          <c:extLst>
            <c:ext xmlns:c16="http://schemas.microsoft.com/office/drawing/2014/chart" uri="{C3380CC4-5D6E-409C-BE32-E72D297353CC}">
              <c16:uniqueId val="{00000004-CAC8-4A1C-AAA9-AE5C1C31D4AE}"/>
            </c:ext>
          </c:extLst>
        </c:ser>
        <c:ser>
          <c:idx val="5"/>
          <c:order val="5"/>
          <c:tx>
            <c:strRef>
              <c:f>'Earnings snap'!$AB$13</c:f>
              <c:strCache>
                <c:ptCount val="1"/>
                <c:pt idx="0">
                  <c:v>Market (Central Bank)</c:v>
                </c:pt>
              </c:strCache>
            </c:strRef>
          </c:tx>
          <c:spPr>
            <a:ln w="25400" cap="rnd">
              <a:solidFill>
                <a:srgbClr val="263238"/>
              </a:solidFill>
              <a:prstDash val="dash"/>
              <a:round/>
            </a:ln>
            <a:effectLst/>
          </c:spPr>
          <c:marker>
            <c:symbol val="none"/>
          </c:marker>
          <c:cat>
            <c:strRef>
              <c:f>'Earnings snap'!$AM$7:$AT$7</c:f>
              <c:strCache>
                <c:ptCount val="8"/>
                <c:pt idx="0">
                  <c:v>Q3 21</c:v>
                </c:pt>
                <c:pt idx="1">
                  <c:v>Q4 21</c:v>
                </c:pt>
                <c:pt idx="2">
                  <c:v>Q1 22</c:v>
                </c:pt>
                <c:pt idx="3">
                  <c:v>Q2 22</c:v>
                </c:pt>
                <c:pt idx="4">
                  <c:v>Q3 22</c:v>
                </c:pt>
                <c:pt idx="5">
                  <c:v>Q4 22</c:v>
                </c:pt>
                <c:pt idx="6">
                  <c:v>Q1 23</c:v>
                </c:pt>
                <c:pt idx="7">
                  <c:v>Q2 23</c:v>
                </c:pt>
              </c:strCache>
            </c:strRef>
          </c:cat>
          <c:val>
            <c:numRef>
              <c:f>'Earnings snap'!$AM$13:$AT$13</c:f>
              <c:numCache>
                <c:formatCode>0.0%</c:formatCode>
                <c:ptCount val="8"/>
                <c:pt idx="0">
                  <c:v>2.3E-2</c:v>
                </c:pt>
                <c:pt idx="1">
                  <c:v>2.3E-2</c:v>
                </c:pt>
                <c:pt idx="2">
                  <c:v>2.5999999999999999E-2</c:v>
                </c:pt>
                <c:pt idx="3">
                  <c:v>2.7E-2</c:v>
                </c:pt>
                <c:pt idx="4">
                  <c:v>2.8000000000000001E-2</c:v>
                </c:pt>
                <c:pt idx="5">
                  <c:v>0.03</c:v>
                </c:pt>
                <c:pt idx="6">
                  <c:v>3.3000000000000002E-2</c:v>
                </c:pt>
                <c:pt idx="7">
                  <c:v>3.5999999999999997E-2</c:v>
                </c:pt>
              </c:numCache>
            </c:numRef>
          </c:val>
          <c:smooth val="0"/>
          <c:extLst>
            <c:ext xmlns:c16="http://schemas.microsoft.com/office/drawing/2014/chart" uri="{C3380CC4-5D6E-409C-BE32-E72D297353CC}">
              <c16:uniqueId val="{00000005-CAC8-4A1C-AAA9-AE5C1C31D4AE}"/>
            </c:ext>
          </c:extLst>
        </c:ser>
        <c:dLbls>
          <c:showLegendKey val="0"/>
          <c:showVal val="0"/>
          <c:showCatName val="0"/>
          <c:showSerName val="0"/>
          <c:showPercent val="0"/>
          <c:showBubbleSize val="0"/>
        </c:dLbls>
        <c:smooth val="0"/>
        <c:axId val="1987949791"/>
        <c:axId val="1192862671"/>
      </c:lineChart>
      <c:catAx>
        <c:axId val="1987949791"/>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192862671"/>
        <c:crosses val="autoZero"/>
        <c:auto val="1"/>
        <c:lblAlgn val="ctr"/>
        <c:lblOffset val="100"/>
        <c:noMultiLvlLbl val="0"/>
      </c:catAx>
      <c:valAx>
        <c:axId val="1192862671"/>
        <c:scaling>
          <c:orientation val="minMax"/>
        </c:scaling>
        <c:delete val="0"/>
        <c:axPos val="l"/>
        <c:numFmt formatCode="0.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987949791"/>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snap'!$B$136</c:f>
              <c:strCache>
                <c:ptCount val="1"/>
                <c:pt idx="0">
                  <c:v>Loan book BRL</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snap'!$C$133:$O$133</c:f>
              <c:strCache>
                <c:ptCount val="7"/>
                <c:pt idx="0">
                  <c:v>Q1 22</c:v>
                </c:pt>
                <c:pt idx="1">
                  <c:v>Q2 22</c:v>
                </c:pt>
                <c:pt idx="2">
                  <c:v>Q3 22</c:v>
                </c:pt>
                <c:pt idx="3">
                  <c:v>Q4 22</c:v>
                </c:pt>
                <c:pt idx="5">
                  <c:v>Q1 23</c:v>
                </c:pt>
                <c:pt idx="6">
                  <c:v>Q2 23</c:v>
                </c:pt>
              </c:strCache>
            </c:strRef>
          </c:cat>
          <c:val>
            <c:numRef>
              <c:f>'Earnings snap'!$C$136:$O$136</c:f>
              <c:numCache>
                <c:formatCode>#,##0</c:formatCode>
                <c:ptCount val="7"/>
                <c:pt idx="0">
                  <c:v>37450.740000000005</c:v>
                </c:pt>
                <c:pt idx="1">
                  <c:v>42891.333959999996</c:v>
                </c:pt>
                <c:pt idx="2">
                  <c:v>46524.8475215</c:v>
                </c:pt>
                <c:pt idx="3">
                  <c:v>52303.68</c:v>
                </c:pt>
                <c:pt idx="5">
                  <c:v>56560.679999999993</c:v>
                </c:pt>
                <c:pt idx="6">
                  <c:v>61412.590000000004</c:v>
                </c:pt>
              </c:numCache>
            </c:numRef>
          </c:val>
          <c:extLst>
            <c:ext xmlns:c16="http://schemas.microsoft.com/office/drawing/2014/chart" uri="{C3380CC4-5D6E-409C-BE32-E72D297353CC}">
              <c16:uniqueId val="{00000000-65C3-450B-B4BE-8713A5765F69}"/>
            </c:ext>
          </c:extLst>
        </c:ser>
        <c:dLbls>
          <c:dLblPos val="outEnd"/>
          <c:showLegendKey val="0"/>
          <c:showVal val="1"/>
          <c:showCatName val="0"/>
          <c:showSerName val="0"/>
          <c:showPercent val="0"/>
          <c:showBubbleSize val="0"/>
        </c:dLbls>
        <c:gapWidth val="30"/>
        <c:axId val="368793744"/>
        <c:axId val="368792496"/>
      </c:barChart>
      <c:catAx>
        <c:axId val="368793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368792496"/>
        <c:crosses val="autoZero"/>
        <c:auto val="1"/>
        <c:lblAlgn val="ctr"/>
        <c:lblOffset val="100"/>
        <c:noMultiLvlLbl val="0"/>
      </c:catAx>
      <c:valAx>
        <c:axId val="368792496"/>
        <c:scaling>
          <c:orientation val="minMax"/>
        </c:scaling>
        <c:delete val="1"/>
        <c:axPos val="l"/>
        <c:numFmt formatCode="#,##0" sourceLinked="1"/>
        <c:majorTickMark val="out"/>
        <c:minorTickMark val="none"/>
        <c:tickLblPos val="nextTo"/>
        <c:crossAx val="3687937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snap'!$B$138</c:f>
              <c:strCache>
                <c:ptCount val="1"/>
                <c:pt idx="0">
                  <c:v>Loan book USD</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snap'!$C$133:$O$133</c:f>
              <c:strCache>
                <c:ptCount val="7"/>
                <c:pt idx="0">
                  <c:v>Q1 22</c:v>
                </c:pt>
                <c:pt idx="1">
                  <c:v>Q2 22</c:v>
                </c:pt>
                <c:pt idx="2">
                  <c:v>Q3 22</c:v>
                </c:pt>
                <c:pt idx="3">
                  <c:v>Q4 22</c:v>
                </c:pt>
                <c:pt idx="5">
                  <c:v>Q1 23</c:v>
                </c:pt>
                <c:pt idx="6">
                  <c:v>Q2 23</c:v>
                </c:pt>
              </c:strCache>
            </c:strRef>
          </c:cat>
          <c:val>
            <c:numRef>
              <c:f>'Earnings snap'!$C$138:$O$138</c:f>
              <c:numCache>
                <c:formatCode>#,##0</c:formatCode>
                <c:ptCount val="7"/>
                <c:pt idx="0">
                  <c:v>7901</c:v>
                </c:pt>
                <c:pt idx="1">
                  <c:v>8154.2460000000001</c:v>
                </c:pt>
                <c:pt idx="2">
                  <c:v>8591.0529999999999</c:v>
                </c:pt>
                <c:pt idx="3">
                  <c:v>9906</c:v>
                </c:pt>
                <c:pt idx="5">
                  <c:v>11178</c:v>
                </c:pt>
                <c:pt idx="6">
                  <c:v>12821</c:v>
                </c:pt>
              </c:numCache>
            </c:numRef>
          </c:val>
          <c:extLst>
            <c:ext xmlns:c16="http://schemas.microsoft.com/office/drawing/2014/chart" uri="{C3380CC4-5D6E-409C-BE32-E72D297353CC}">
              <c16:uniqueId val="{00000000-1C0F-4610-B52A-8FA15A292B26}"/>
            </c:ext>
          </c:extLst>
        </c:ser>
        <c:dLbls>
          <c:dLblPos val="outEnd"/>
          <c:showLegendKey val="0"/>
          <c:showVal val="1"/>
          <c:showCatName val="0"/>
          <c:showSerName val="0"/>
          <c:showPercent val="0"/>
          <c:showBubbleSize val="0"/>
        </c:dLbls>
        <c:gapWidth val="30"/>
        <c:axId val="368793744"/>
        <c:axId val="368792496"/>
      </c:barChart>
      <c:catAx>
        <c:axId val="368793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368792496"/>
        <c:crosses val="autoZero"/>
        <c:auto val="1"/>
        <c:lblAlgn val="ctr"/>
        <c:lblOffset val="100"/>
        <c:noMultiLvlLbl val="0"/>
      </c:catAx>
      <c:valAx>
        <c:axId val="368792496"/>
        <c:scaling>
          <c:orientation val="minMax"/>
        </c:scaling>
        <c:delete val="1"/>
        <c:axPos val="l"/>
        <c:numFmt formatCode="#,##0" sourceLinked="1"/>
        <c:majorTickMark val="out"/>
        <c:minorTickMark val="none"/>
        <c:tickLblPos val="nextTo"/>
        <c:crossAx val="3687937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snap'!$B$129</c:f>
              <c:strCache>
                <c:ptCount val="1"/>
                <c:pt idx="0">
                  <c:v>Personal loans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snap'!$J$127:$O$127</c:f>
              <c:strCache>
                <c:ptCount val="5"/>
                <c:pt idx="0">
                  <c:v>Q3 22</c:v>
                </c:pt>
                <c:pt idx="1">
                  <c:v>Q4 22</c:v>
                </c:pt>
                <c:pt idx="3">
                  <c:v>Q1 23</c:v>
                </c:pt>
                <c:pt idx="4">
                  <c:v>Q2 23</c:v>
                </c:pt>
              </c:strCache>
            </c:strRef>
          </c:cat>
          <c:val>
            <c:numRef>
              <c:f>'Earnings snap'!$J$129:$O$129</c:f>
              <c:numCache>
                <c:formatCode>#,##0</c:formatCode>
                <c:ptCount val="5"/>
                <c:pt idx="0">
                  <c:v>10315.092392500001</c:v>
                </c:pt>
                <c:pt idx="1">
                  <c:v>10417.44</c:v>
                </c:pt>
                <c:pt idx="3">
                  <c:v>11820.16</c:v>
                </c:pt>
                <c:pt idx="4">
                  <c:v>13373.68</c:v>
                </c:pt>
              </c:numCache>
            </c:numRef>
          </c:val>
          <c:extLst>
            <c:ext xmlns:c16="http://schemas.microsoft.com/office/drawing/2014/chart" uri="{C3380CC4-5D6E-409C-BE32-E72D297353CC}">
              <c16:uniqueId val="{00000000-9EEE-4DC3-B819-F33567801176}"/>
            </c:ext>
          </c:extLst>
        </c:ser>
        <c:dLbls>
          <c:dLblPos val="outEnd"/>
          <c:showLegendKey val="0"/>
          <c:showVal val="1"/>
          <c:showCatName val="0"/>
          <c:showSerName val="0"/>
          <c:showPercent val="0"/>
          <c:showBubbleSize val="0"/>
        </c:dLbls>
        <c:gapWidth val="30"/>
        <c:axId val="368793744"/>
        <c:axId val="368792496"/>
      </c:barChart>
      <c:catAx>
        <c:axId val="368793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368792496"/>
        <c:crosses val="autoZero"/>
        <c:auto val="1"/>
        <c:lblAlgn val="ctr"/>
        <c:lblOffset val="100"/>
        <c:noMultiLvlLbl val="0"/>
      </c:catAx>
      <c:valAx>
        <c:axId val="368792496"/>
        <c:scaling>
          <c:orientation val="minMax"/>
        </c:scaling>
        <c:delete val="1"/>
        <c:axPos val="l"/>
        <c:numFmt formatCode="#,##0" sourceLinked="1"/>
        <c:majorTickMark val="out"/>
        <c:minorTickMark val="none"/>
        <c:tickLblPos val="nextTo"/>
        <c:crossAx val="3687937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snap'!$B$140</c:f>
              <c:strCache>
                <c:ptCount val="1"/>
                <c:pt idx="0">
                  <c:v>Personal loan originations</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snap'!$J$133:$O$133</c:f>
              <c:strCache>
                <c:ptCount val="5"/>
                <c:pt idx="0">
                  <c:v>Q3 22</c:v>
                </c:pt>
                <c:pt idx="1">
                  <c:v>Q4 22</c:v>
                </c:pt>
                <c:pt idx="3">
                  <c:v>Q1 23</c:v>
                </c:pt>
                <c:pt idx="4">
                  <c:v>Q2 23</c:v>
                </c:pt>
              </c:strCache>
            </c:strRef>
          </c:cat>
          <c:val>
            <c:numRef>
              <c:f>'Earnings snap'!$J$140:$O$140</c:f>
              <c:numCache>
                <c:formatCode>#,##0</c:formatCode>
                <c:ptCount val="5"/>
                <c:pt idx="0">
                  <c:v>4600</c:v>
                </c:pt>
                <c:pt idx="1">
                  <c:v>5000</c:v>
                </c:pt>
                <c:pt idx="3">
                  <c:v>6300</c:v>
                </c:pt>
                <c:pt idx="4">
                  <c:v>7300</c:v>
                </c:pt>
              </c:numCache>
            </c:numRef>
          </c:val>
          <c:extLst>
            <c:ext xmlns:c16="http://schemas.microsoft.com/office/drawing/2014/chart" uri="{C3380CC4-5D6E-409C-BE32-E72D297353CC}">
              <c16:uniqueId val="{00000000-F65D-48D1-A852-CB968992CDBC}"/>
            </c:ext>
          </c:extLst>
        </c:ser>
        <c:dLbls>
          <c:dLblPos val="outEnd"/>
          <c:showLegendKey val="0"/>
          <c:showVal val="1"/>
          <c:showCatName val="0"/>
          <c:showSerName val="0"/>
          <c:showPercent val="0"/>
          <c:showBubbleSize val="0"/>
        </c:dLbls>
        <c:gapWidth val="30"/>
        <c:axId val="368793744"/>
        <c:axId val="368792496"/>
      </c:barChart>
      <c:catAx>
        <c:axId val="368793744"/>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368792496"/>
        <c:crosses val="autoZero"/>
        <c:auto val="1"/>
        <c:lblAlgn val="ctr"/>
        <c:lblOffset val="100"/>
        <c:noMultiLvlLbl val="0"/>
      </c:catAx>
      <c:valAx>
        <c:axId val="368792496"/>
        <c:scaling>
          <c:orientation val="minMax"/>
        </c:scaling>
        <c:delete val="1"/>
        <c:axPos val="l"/>
        <c:numFmt formatCode="#,##0" sourceLinked="1"/>
        <c:majorTickMark val="out"/>
        <c:minorTickMark val="none"/>
        <c:tickLblPos val="nextTo"/>
        <c:crossAx val="36879374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rgbClr val="000080"/>
            </a:solidFill>
            <a:ln w="25400">
              <a:noFill/>
            </a:ln>
            <a:effectLst/>
          </c:spPr>
          <c:invertIfNegative val="0"/>
          <c:cat>
            <c:strRef>
              <c:f>Analysis!$B$77:$B$81</c:f>
              <c:strCache>
                <c:ptCount val="5"/>
                <c:pt idx="0">
                  <c:v>Itau, Bradesco, Santander</c:v>
                </c:pt>
                <c:pt idx="1">
                  <c:v>Nubank</c:v>
                </c:pt>
                <c:pt idx="2">
                  <c:v>Inter</c:v>
                </c:pt>
                <c:pt idx="3">
                  <c:v>PicPay</c:v>
                </c:pt>
                <c:pt idx="4">
                  <c:v>Pagbank</c:v>
                </c:pt>
              </c:strCache>
            </c:strRef>
          </c:cat>
          <c:val>
            <c:numRef>
              <c:f>Analysis!$C$77:$C$81</c:f>
              <c:numCache>
                <c:formatCode>0.0</c:formatCode>
                <c:ptCount val="5"/>
                <c:pt idx="0">
                  <c:v>171.08333333333334</c:v>
                </c:pt>
                <c:pt idx="1">
                  <c:v>25.768871113017799</c:v>
                </c:pt>
                <c:pt idx="2">
                  <c:v>21</c:v>
                </c:pt>
                <c:pt idx="3" formatCode="General">
                  <c:v>6.4</c:v>
                </c:pt>
                <c:pt idx="4" formatCode="General">
                  <c:v>6.3</c:v>
                </c:pt>
              </c:numCache>
            </c:numRef>
          </c:val>
          <c:extLst>
            <c:ext xmlns:c16="http://schemas.microsoft.com/office/drawing/2014/chart" uri="{C3380CC4-5D6E-409C-BE32-E72D297353CC}">
              <c16:uniqueId val="{00000000-C603-4D5C-9ABF-0425205BD066}"/>
            </c:ext>
          </c:extLst>
        </c:ser>
        <c:dLbls>
          <c:showLegendKey val="0"/>
          <c:showVal val="0"/>
          <c:showCatName val="0"/>
          <c:showSerName val="0"/>
          <c:showPercent val="0"/>
          <c:showBubbleSize val="0"/>
        </c:dLbls>
        <c:gapWidth val="219"/>
        <c:overlap val="-27"/>
        <c:axId val="2091848975"/>
        <c:axId val="2091849807"/>
      </c:barChart>
      <c:catAx>
        <c:axId val="2091848975"/>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91849807"/>
        <c:crosses val="autoZero"/>
        <c:auto val="1"/>
        <c:lblAlgn val="ctr"/>
        <c:lblOffset val="100"/>
        <c:noMultiLvlLbl val="0"/>
      </c:catAx>
      <c:valAx>
        <c:axId val="2091849807"/>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US"/>
                  <a:t>BRL / month</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91848975"/>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'Earnings snap'!$B$98</c:f>
              <c:strCache>
                <c:ptCount val="1"/>
                <c:pt idx="0">
                  <c:v>NPL +90 day </c:v>
                </c:pt>
              </c:strCache>
            </c:strRef>
          </c:tx>
          <c:spPr>
            <a:ln w="25400" cap="rnd">
              <a:solidFill>
                <a:schemeClr val="accent6">
                  <a:lumMod val="50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snap'!$I$80:$P$80</c:f>
              <c:strCache>
                <c:ptCount val="6"/>
                <c:pt idx="0">
                  <c:v>Q3 22</c:v>
                </c:pt>
                <c:pt idx="1">
                  <c:v>Q4 22</c:v>
                </c:pt>
                <c:pt idx="2">
                  <c:v>Q1 23</c:v>
                </c:pt>
                <c:pt idx="3">
                  <c:v>Q2 23</c:v>
                </c:pt>
                <c:pt idx="4">
                  <c:v>Q3 23</c:v>
                </c:pt>
                <c:pt idx="5">
                  <c:v>Q4 23</c:v>
                </c:pt>
              </c:strCache>
            </c:strRef>
          </c:cat>
          <c:val>
            <c:numRef>
              <c:f>'Earnings snap'!$I$98:$P$98</c:f>
              <c:numCache>
                <c:formatCode>0.0%</c:formatCode>
                <c:ptCount val="6"/>
                <c:pt idx="0">
                  <c:v>4.7E-2</c:v>
                </c:pt>
                <c:pt idx="1">
                  <c:v>5.1999999999999998E-2</c:v>
                </c:pt>
                <c:pt idx="2">
                  <c:v>5.5E-2</c:v>
                </c:pt>
                <c:pt idx="3">
                  <c:v>5.8999999999999997E-2</c:v>
                </c:pt>
                <c:pt idx="4">
                  <c:v>6.0999999999999999E-2</c:v>
                </c:pt>
                <c:pt idx="5">
                  <c:v>6.0999999999999999E-2</c:v>
                </c:pt>
              </c:numCache>
            </c:numRef>
          </c:val>
          <c:smooth val="0"/>
          <c:extLst>
            <c:ext xmlns:c16="http://schemas.microsoft.com/office/drawing/2014/chart" uri="{C3380CC4-5D6E-409C-BE32-E72D297353CC}">
              <c16:uniqueId val="{00000000-D697-494D-9877-BAF79ABD8B75}"/>
            </c:ext>
          </c:extLst>
        </c:ser>
        <c:ser>
          <c:idx val="1"/>
          <c:order val="1"/>
          <c:tx>
            <c:strRef>
              <c:f>'Earnings snap'!$B$99</c:f>
              <c:strCache>
                <c:ptCount val="1"/>
                <c:pt idx="0">
                  <c:v>NPL 15-90 day</c:v>
                </c:pt>
              </c:strCache>
            </c:strRef>
          </c:tx>
          <c:spPr>
            <a:ln w="25400" cap="rnd">
              <a:solidFill>
                <a:schemeClr val="accent6">
                  <a:lumMod val="75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snap'!$I$80:$P$80</c:f>
              <c:strCache>
                <c:ptCount val="6"/>
                <c:pt idx="0">
                  <c:v>Q3 22</c:v>
                </c:pt>
                <c:pt idx="1">
                  <c:v>Q4 22</c:v>
                </c:pt>
                <c:pt idx="2">
                  <c:v>Q1 23</c:v>
                </c:pt>
                <c:pt idx="3">
                  <c:v>Q2 23</c:v>
                </c:pt>
                <c:pt idx="4">
                  <c:v>Q3 23</c:v>
                </c:pt>
                <c:pt idx="5">
                  <c:v>Q4 23</c:v>
                </c:pt>
              </c:strCache>
            </c:strRef>
          </c:cat>
          <c:val>
            <c:numRef>
              <c:f>'Earnings snap'!$I$99:$P$99</c:f>
              <c:numCache>
                <c:formatCode>0.0%</c:formatCode>
                <c:ptCount val="6"/>
                <c:pt idx="0">
                  <c:v>4.2000000000000003E-2</c:v>
                </c:pt>
                <c:pt idx="1">
                  <c:v>3.6999999999999998E-2</c:v>
                </c:pt>
                <c:pt idx="2">
                  <c:v>4.3999999999999997E-2</c:v>
                </c:pt>
                <c:pt idx="3">
                  <c:v>4.2999999999999997E-2</c:v>
                </c:pt>
                <c:pt idx="4">
                  <c:v>4.2000000000000003E-2</c:v>
                </c:pt>
                <c:pt idx="5">
                  <c:v>4.1000000000000002E-2</c:v>
                </c:pt>
              </c:numCache>
            </c:numRef>
          </c:val>
          <c:smooth val="0"/>
          <c:extLst>
            <c:ext xmlns:c16="http://schemas.microsoft.com/office/drawing/2014/chart" uri="{C3380CC4-5D6E-409C-BE32-E72D297353CC}">
              <c16:uniqueId val="{00000001-D697-494D-9877-BAF79ABD8B75}"/>
            </c:ext>
          </c:extLst>
        </c:ser>
        <c:dLbls>
          <c:showLegendKey val="0"/>
          <c:showVal val="0"/>
          <c:showCatName val="0"/>
          <c:showSerName val="0"/>
          <c:showPercent val="0"/>
          <c:showBubbleSize val="0"/>
        </c:dLbls>
        <c:smooth val="0"/>
        <c:axId val="1966746800"/>
        <c:axId val="1966753040"/>
      </c:lineChart>
      <c:catAx>
        <c:axId val="1966746800"/>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966753040"/>
        <c:crosses val="autoZero"/>
        <c:auto val="1"/>
        <c:lblAlgn val="ctr"/>
        <c:lblOffset val="100"/>
        <c:noMultiLvlLbl val="0"/>
      </c:catAx>
      <c:valAx>
        <c:axId val="1966753040"/>
        <c:scaling>
          <c:orientation val="minMax"/>
        </c:scaling>
        <c:delete val="1"/>
        <c:axPos val="l"/>
        <c:numFmt formatCode="0.0%" sourceLinked="1"/>
        <c:majorTickMark val="out"/>
        <c:minorTickMark val="none"/>
        <c:tickLblPos val="nextTo"/>
        <c:crossAx val="1966746800"/>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'Earnings snap'!$B$424</c:f>
              <c:strCache>
                <c:ptCount val="1"/>
                <c:pt idx="0">
                  <c:v>Secured</c:v>
                </c:pt>
              </c:strCache>
            </c:strRef>
          </c:tx>
          <c:spPr>
            <a:solidFill>
              <a:srgbClr val="26323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snap'!$K$423:$L$423</c:f>
              <c:strCache>
                <c:ptCount val="2"/>
                <c:pt idx="0">
                  <c:v>Q1 24</c:v>
                </c:pt>
                <c:pt idx="1">
                  <c:v>Q2 24</c:v>
                </c:pt>
              </c:strCache>
            </c:strRef>
          </c:cat>
          <c:val>
            <c:numRef>
              <c:f>'Earnings snap'!$K$424:$L$424</c:f>
              <c:numCache>
                <c:formatCode>0%</c:formatCode>
                <c:ptCount val="2"/>
                <c:pt idx="0">
                  <c:v>0.7</c:v>
                </c:pt>
                <c:pt idx="1">
                  <c:v>0.06</c:v>
                </c:pt>
              </c:numCache>
            </c:numRef>
          </c:val>
          <c:extLst>
            <c:ext xmlns:c16="http://schemas.microsoft.com/office/drawing/2014/chart" uri="{C3380CC4-5D6E-409C-BE32-E72D297353CC}">
              <c16:uniqueId val="{00000000-522B-4E77-9E58-CE88F37BBE53}"/>
            </c:ext>
          </c:extLst>
        </c:ser>
        <c:ser>
          <c:idx val="1"/>
          <c:order val="1"/>
          <c:tx>
            <c:strRef>
              <c:f>'Earnings snap'!$B$425</c:f>
              <c:strCache>
                <c:ptCount val="1"/>
                <c:pt idx="0">
                  <c:v>Unsecured</c:v>
                </c:pt>
              </c:strCache>
            </c:strRef>
          </c:tx>
          <c:spPr>
            <a:solidFill>
              <a:srgbClr val="799098"/>
            </a:solidFill>
            <a:ln>
              <a:noFill/>
            </a:ln>
            <a:effectLst/>
            <a:extLst>
              <a:ext uri="{91240B29-F687-4F45-9708-019B960494DF}">
                <a14:hiddenLine xmlns:a14="http://schemas.microsoft.com/office/drawing/2010/main">
                  <a:noFill/>
                </a14:hiddenLine>
              </a:ext>
            </a:ex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FFFFFF"/>
                    </a:solidFill>
                    <a:latin typeface="Helvetica Neue"/>
                    <a:ea typeface="Helvetica Neue"/>
                    <a:cs typeface="Helvetica Neue"/>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snap'!$K$423:$L$423</c:f>
              <c:strCache>
                <c:ptCount val="2"/>
                <c:pt idx="0">
                  <c:v>Q1 24</c:v>
                </c:pt>
                <c:pt idx="1">
                  <c:v>Q2 24</c:v>
                </c:pt>
              </c:strCache>
            </c:strRef>
          </c:cat>
          <c:val>
            <c:numRef>
              <c:f>'Earnings snap'!$K$425:$L$425</c:f>
              <c:numCache>
                <c:formatCode>0%</c:formatCode>
                <c:ptCount val="2"/>
                <c:pt idx="0">
                  <c:v>0.18</c:v>
                </c:pt>
                <c:pt idx="1">
                  <c:v>0.06</c:v>
                </c:pt>
              </c:numCache>
            </c:numRef>
          </c:val>
          <c:extLst>
            <c:ext xmlns:c16="http://schemas.microsoft.com/office/drawing/2014/chart" uri="{C3380CC4-5D6E-409C-BE32-E72D297353CC}">
              <c16:uniqueId val="{00000001-522B-4E77-9E58-CE88F37BBE53}"/>
            </c:ext>
          </c:extLst>
        </c:ser>
        <c:dLbls>
          <c:showLegendKey val="0"/>
          <c:showVal val="0"/>
          <c:showCatName val="0"/>
          <c:showSerName val="0"/>
          <c:showPercent val="0"/>
          <c:showBubbleSize val="0"/>
        </c:dLbls>
        <c:gapWidth val="30"/>
        <c:overlap val="-27"/>
        <c:axId val="430627312"/>
        <c:axId val="430617232"/>
      </c:barChart>
      <c:catAx>
        <c:axId val="430627312"/>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430617232"/>
        <c:crosses val="autoZero"/>
        <c:auto val="1"/>
        <c:lblAlgn val="ctr"/>
        <c:lblOffset val="100"/>
        <c:noMultiLvlLbl val="0"/>
      </c:catAx>
      <c:valAx>
        <c:axId val="430617232"/>
        <c:scaling>
          <c:orientation val="minMax"/>
        </c:scaling>
        <c:delete val="1"/>
        <c:axPos val="l"/>
        <c:numFmt formatCode="0%" sourceLinked="1"/>
        <c:majorTickMark val="out"/>
        <c:minorTickMark val="none"/>
        <c:tickLblPos val="nextTo"/>
        <c:crossAx val="43062731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chemeClr val="accent6">
                  <a:lumMod val="75000"/>
                </a:schemeClr>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595959"/>
                    </a:solidFill>
                    <a:latin typeface="Helvetica Neue"/>
                    <a:ea typeface="Helvetica Neue"/>
                    <a:cs typeface="Helvetica Neue"/>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'Earnings snap'!$I$447:$R$447</c:f>
              <c:strCache>
                <c:ptCount val="8"/>
                <c:pt idx="0">
                  <c:v>Q1 22</c:v>
                </c:pt>
                <c:pt idx="1">
                  <c:v>Q2 22</c:v>
                </c:pt>
                <c:pt idx="2">
                  <c:v>Q3 22</c:v>
                </c:pt>
                <c:pt idx="3">
                  <c:v>Q4 22</c:v>
                </c:pt>
                <c:pt idx="4">
                  <c:v>Q1 23</c:v>
                </c:pt>
                <c:pt idx="5">
                  <c:v>Q2 23</c:v>
                </c:pt>
                <c:pt idx="6">
                  <c:v>Q1 24</c:v>
                </c:pt>
                <c:pt idx="7">
                  <c:v>Q2 24</c:v>
                </c:pt>
              </c:strCache>
            </c:strRef>
          </c:cat>
          <c:val>
            <c:numRef>
              <c:f>'Earnings snap'!$I$466:$R$466</c:f>
              <c:numCache>
                <c:formatCode>0%</c:formatCode>
                <c:ptCount val="8"/>
                <c:pt idx="0">
                  <c:v>0.31429655965629616</c:v>
                </c:pt>
                <c:pt idx="1">
                  <c:v>0.29241828292418282</c:v>
                </c:pt>
                <c:pt idx="2">
                  <c:v>0.28732114163287165</c:v>
                </c:pt>
                <c:pt idx="3">
                  <c:v>0.28628146995873888</c:v>
                </c:pt>
                <c:pt idx="4">
                  <c:v>0.29287208657150593</c:v>
                </c:pt>
                <c:pt idx="5">
                  <c:v>0.31595847158300333</c:v>
                </c:pt>
                <c:pt idx="6">
                  <c:v>0.30372807017543857</c:v>
                </c:pt>
                <c:pt idx="7">
                  <c:v>0.26678835960262576</c:v>
                </c:pt>
              </c:numCache>
            </c:numRef>
          </c:val>
          <c:smooth val="0"/>
          <c:extLst>
            <c:ext xmlns:c16="http://schemas.microsoft.com/office/drawing/2014/chart" uri="{C3380CC4-5D6E-409C-BE32-E72D297353CC}">
              <c16:uniqueId val="{00000000-8CD3-41E9-92F5-56C0B73A5BB8}"/>
            </c:ext>
          </c:extLst>
        </c:ser>
        <c:dLbls>
          <c:showLegendKey val="0"/>
          <c:showVal val="0"/>
          <c:showCatName val="0"/>
          <c:showSerName val="0"/>
          <c:showPercent val="0"/>
          <c:showBubbleSize val="0"/>
        </c:dLbls>
        <c:smooth val="0"/>
        <c:axId val="1435748496"/>
        <c:axId val="1435748976"/>
      </c:lineChart>
      <c:catAx>
        <c:axId val="1435748496"/>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35748976"/>
        <c:crosses val="autoZero"/>
        <c:auto val="1"/>
        <c:lblAlgn val="ctr"/>
        <c:lblOffset val="100"/>
        <c:noMultiLvlLbl val="0"/>
      </c:catAx>
      <c:valAx>
        <c:axId val="1435748976"/>
        <c:scaling>
          <c:orientation val="minMax"/>
        </c:scaling>
        <c:delete val="1"/>
        <c:axPos val="l"/>
        <c:numFmt formatCode="0%" sourceLinked="1"/>
        <c:majorTickMark val="out"/>
        <c:minorTickMark val="none"/>
        <c:tickLblPos val="nextTo"/>
        <c:crossAx val="1435748496"/>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spPr>
            <a:solidFill>
              <a:srgbClr val="9999FF"/>
            </a:solidFill>
          </c:spPr>
          <c:dPt>
            <c:idx val="0"/>
            <c:bubble3D val="0"/>
            <c:spPr>
              <a:solidFill>
                <a:srgbClr val="9999FF"/>
              </a:solidFill>
              <a:ln w="25400">
                <a:noFill/>
              </a:ln>
              <a:effectLst/>
            </c:spPr>
            <c:extLst>
              <c:ext xmlns:c16="http://schemas.microsoft.com/office/drawing/2014/chart" uri="{C3380CC4-5D6E-409C-BE32-E72D297353CC}">
                <c16:uniqueId val="{00000004-3389-431E-9138-B61BFB0EA79C}"/>
              </c:ext>
            </c:extLst>
          </c:dPt>
          <c:dPt>
            <c:idx val="1"/>
            <c:bubble3D val="0"/>
            <c:spPr>
              <a:solidFill>
                <a:srgbClr val="002060"/>
              </a:solidFill>
              <a:ln w="25400">
                <a:noFill/>
              </a:ln>
              <a:effectLst/>
            </c:spPr>
            <c:extLst>
              <c:ext xmlns:c16="http://schemas.microsoft.com/office/drawing/2014/chart" uri="{C3380CC4-5D6E-409C-BE32-E72D297353CC}">
                <c16:uniqueId val="{00000005-3389-431E-9138-B61BFB0EA79C}"/>
              </c:ext>
            </c:extLst>
          </c:dPt>
          <c:dLbls>
            <c:spPr>
              <a:noFill/>
              <a:ln>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Drivers!$A$393:$A$394</c:f>
              <c:strCache>
                <c:ptCount val="2"/>
                <c:pt idx="0">
                  <c:v>Personal Loans</c:v>
                </c:pt>
                <c:pt idx="1">
                  <c:v>Credit card</c:v>
                </c:pt>
              </c:strCache>
            </c:strRef>
          </c:cat>
          <c:val>
            <c:numRef>
              <c:f>Drivers!$F$393:$F$394</c:f>
              <c:numCache>
                <c:formatCode>0%</c:formatCode>
                <c:ptCount val="2"/>
                <c:pt idx="0">
                  <c:v>0.19995782645586591</c:v>
                </c:pt>
                <c:pt idx="1">
                  <c:v>0.80004217354413421</c:v>
                </c:pt>
              </c:numCache>
            </c:numRef>
          </c:val>
          <c:extLst>
            <c:ext xmlns:c16="http://schemas.microsoft.com/office/drawing/2014/chart" uri="{C3380CC4-5D6E-409C-BE32-E72D297353CC}">
              <c16:uniqueId val="{00000000-3389-431E-9138-B61BFB0EA79C}"/>
            </c:ext>
          </c:extLst>
        </c:ser>
        <c:dLbls>
          <c:dLblPos val="outEnd"/>
          <c:showLegendKey val="0"/>
          <c:showVal val="1"/>
          <c:showCatName val="0"/>
          <c:showSerName val="0"/>
          <c:showPercent val="0"/>
          <c:showBubbleSize val="0"/>
          <c:showLeaderLines val="1"/>
        </c:dLbls>
        <c:firstSliceAng val="0"/>
      </c:pieChart>
      <c:spPr>
        <a:noFill/>
        <a:ln w="25400">
          <a:noFill/>
        </a:ln>
        <a:effectLst/>
      </c:spPr>
    </c:plotArea>
    <c:legend>
      <c:legendPos val="b"/>
      <c:overlay val="0"/>
      <c:spPr>
        <a:noFill/>
        <a:ln w="25400">
          <a:noFill/>
        </a:ln>
        <a:effectLst/>
      </c:spPr>
      <c:txPr>
        <a:bodyPr rot="0" spcFirstLastPara="1" vertOverflow="ellipsis" vert="horz" wrap="square" anchor="ctr" anchorCtr="1"/>
        <a:lstStyle/>
        <a:p>
          <a:pPr rtl="0">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Drivers!$A$404</c:f>
              <c:strCache>
                <c:ptCount val="1"/>
                <c:pt idx="0">
                  <c:v>Personal Loans</c:v>
                </c:pt>
              </c:strCache>
            </c:strRef>
          </c:tx>
          <c:spPr>
            <a:ln w="25400" cap="rnd">
              <a:solidFill>
                <a:srgbClr val="333399"/>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Drivers!$D$1:$F$1</c:f>
              <c:numCache>
                <c:formatCode>General</c:formatCode>
                <c:ptCount val="3"/>
                <c:pt idx="0">
                  <c:v>2019</c:v>
                </c:pt>
                <c:pt idx="1">
                  <c:v>2020</c:v>
                </c:pt>
                <c:pt idx="2">
                  <c:v>2021</c:v>
                </c:pt>
              </c:numCache>
            </c:numRef>
          </c:cat>
          <c:val>
            <c:numRef>
              <c:f>Drivers!$D$404:$F$404</c:f>
              <c:numCache>
                <c:formatCode>0.0%</c:formatCode>
                <c:ptCount val="3"/>
                <c:pt idx="0">
                  <c:v>0.14827586206896551</c:v>
                </c:pt>
                <c:pt idx="1">
                  <c:v>0.19226436781609196</c:v>
                </c:pt>
                <c:pt idx="2">
                  <c:v>0.13491684870397805</c:v>
                </c:pt>
              </c:numCache>
            </c:numRef>
          </c:val>
          <c:smooth val="1"/>
          <c:extLst>
            <c:ext xmlns:c16="http://schemas.microsoft.com/office/drawing/2014/chart" uri="{C3380CC4-5D6E-409C-BE32-E72D297353CC}">
              <c16:uniqueId val="{00000000-4CB2-4F70-AC7B-E6B16F1A2BA1}"/>
            </c:ext>
          </c:extLst>
        </c:ser>
        <c:dLbls>
          <c:showLegendKey val="0"/>
          <c:showVal val="0"/>
          <c:showCatName val="0"/>
          <c:showSerName val="0"/>
          <c:showPercent val="0"/>
          <c:showBubbleSize val="0"/>
        </c:dLbls>
        <c:smooth val="0"/>
        <c:axId val="2043107024"/>
        <c:axId val="2043104112"/>
      </c:lineChart>
      <c:catAx>
        <c:axId val="204310702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43104112"/>
        <c:crosses val="autoZero"/>
        <c:auto val="1"/>
        <c:lblAlgn val="ctr"/>
        <c:lblOffset val="100"/>
        <c:noMultiLvlLbl val="0"/>
      </c:catAx>
      <c:valAx>
        <c:axId val="2043104112"/>
        <c:scaling>
          <c:orientation val="minMax"/>
          <c:min val="0.1"/>
        </c:scaling>
        <c:delete val="0"/>
        <c:axPos val="l"/>
        <c:majorGridlines>
          <c:spPr>
            <a:ln w="3175" cap="flat" cmpd="sng" algn="ctr">
              <a:solidFill>
                <a:srgbClr val="C0C0C0"/>
              </a:solidFill>
              <a:prstDash val="solid"/>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04310702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Drivers!$A$474</c:f>
              <c:strCache>
                <c:ptCount val="1"/>
                <c:pt idx="0">
                  <c:v>Credit card penetration</c:v>
                </c:pt>
              </c:strCache>
            </c:strRef>
          </c:tx>
          <c:spPr>
            <a:ln w="25400" cap="rnd">
              <a:solidFill>
                <a:srgbClr val="333399"/>
              </a:solidFill>
              <a:prstDash val="solid"/>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Drivers!$F$473:$O$473</c:f>
              <c:numCache>
                <c:formatCode>General</c:formatCode>
                <c:ptCount val="10"/>
                <c:pt idx="0">
                  <c:v>2021</c:v>
                </c:pt>
                <c:pt idx="1">
                  <c:v>2022</c:v>
                </c:pt>
                <c:pt idx="2">
                  <c:v>2023</c:v>
                </c:pt>
                <c:pt idx="3">
                  <c:v>2024</c:v>
                </c:pt>
                <c:pt idx="4">
                  <c:v>2025</c:v>
                </c:pt>
                <c:pt idx="5">
                  <c:v>2026</c:v>
                </c:pt>
                <c:pt idx="6">
                  <c:v>2027</c:v>
                </c:pt>
                <c:pt idx="7">
                  <c:v>2028</c:v>
                </c:pt>
                <c:pt idx="8">
                  <c:v>2029</c:v>
                </c:pt>
                <c:pt idx="9">
                  <c:v>2030</c:v>
                </c:pt>
              </c:numCache>
            </c:numRef>
          </c:cat>
          <c:val>
            <c:numRef>
              <c:f>Drivers!$F$474:$O$474</c:f>
              <c:numCache>
                <c:formatCode>0.00%</c:formatCode>
                <c:ptCount val="10"/>
                <c:pt idx="0">
                  <c:v>0.41896368880570228</c:v>
                </c:pt>
                <c:pt idx="1">
                  <c:v>0.44463439004951316</c:v>
                </c:pt>
                <c:pt idx="2">
                  <c:v>0.47030509129332404</c:v>
                </c:pt>
                <c:pt idx="3">
                  <c:v>0.49597579253713492</c:v>
                </c:pt>
                <c:pt idx="4">
                  <c:v>0.52164649378094574</c:v>
                </c:pt>
                <c:pt idx="5">
                  <c:v>0.54731719502475662</c:v>
                </c:pt>
                <c:pt idx="6">
                  <c:v>0.5729878962685675</c:v>
                </c:pt>
                <c:pt idx="7">
                  <c:v>0.59865859751237838</c:v>
                </c:pt>
                <c:pt idx="8">
                  <c:v>0.62432929875618925</c:v>
                </c:pt>
                <c:pt idx="9">
                  <c:v>0.65</c:v>
                </c:pt>
              </c:numCache>
            </c:numRef>
          </c:val>
          <c:smooth val="0"/>
          <c:extLst>
            <c:ext xmlns:c16="http://schemas.microsoft.com/office/drawing/2014/chart" uri="{C3380CC4-5D6E-409C-BE32-E72D297353CC}">
              <c16:uniqueId val="{00000000-CAF2-40D7-9ED8-A12A48F3AEAC}"/>
            </c:ext>
          </c:extLst>
        </c:ser>
        <c:ser>
          <c:idx val="2"/>
          <c:order val="1"/>
          <c:tx>
            <c:strRef>
              <c:f>Drivers!$A$475</c:f>
              <c:strCache>
                <c:ptCount val="1"/>
                <c:pt idx="0">
                  <c:v>Nubank's BR credit card market share</c:v>
                </c:pt>
              </c:strCache>
            </c:strRef>
          </c:tx>
          <c:spPr>
            <a:ln w="25400" cap="rnd">
              <a:solidFill>
                <a:srgbClr val="99CCFF"/>
              </a:solidFill>
              <a:prstDash val="solid"/>
              <a:round/>
            </a:ln>
            <a:effectLst/>
          </c:spPr>
          <c:marker>
            <c:symbol val="none"/>
          </c:marker>
          <c:dLbls>
            <c:numFmt formatCode="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Drivers!$F$473:$O$473</c:f>
              <c:numCache>
                <c:formatCode>General</c:formatCode>
                <c:ptCount val="10"/>
                <c:pt idx="0">
                  <c:v>2021</c:v>
                </c:pt>
                <c:pt idx="1">
                  <c:v>2022</c:v>
                </c:pt>
                <c:pt idx="2">
                  <c:v>2023</c:v>
                </c:pt>
                <c:pt idx="3">
                  <c:v>2024</c:v>
                </c:pt>
                <c:pt idx="4">
                  <c:v>2025</c:v>
                </c:pt>
                <c:pt idx="5">
                  <c:v>2026</c:v>
                </c:pt>
                <c:pt idx="6">
                  <c:v>2027</c:v>
                </c:pt>
                <c:pt idx="7">
                  <c:v>2028</c:v>
                </c:pt>
                <c:pt idx="8">
                  <c:v>2029</c:v>
                </c:pt>
                <c:pt idx="9">
                  <c:v>2030</c:v>
                </c:pt>
              </c:numCache>
            </c:numRef>
          </c:cat>
          <c:val>
            <c:numRef>
              <c:f>Drivers!$F$475:$O$475</c:f>
              <c:numCache>
                <c:formatCode>0.0%</c:formatCode>
                <c:ptCount val="10"/>
                <c:pt idx="0">
                  <c:v>0.16242732478924529</c:v>
                </c:pt>
                <c:pt idx="1">
                  <c:v>0.19241302948912375</c:v>
                </c:pt>
                <c:pt idx="2">
                  <c:v>0.21650121229288188</c:v>
                </c:pt>
                <c:pt idx="3">
                  <c:v>0.24216712375588612</c:v>
                </c:pt>
                <c:pt idx="4">
                  <c:v>0.25003545975578806</c:v>
                </c:pt>
                <c:pt idx="5">
                  <c:v>0.25684354964963735</c:v>
                </c:pt>
                <c:pt idx="6">
                  <c:v>0.26099491567056032</c:v>
                </c:pt>
                <c:pt idx="7">
                  <c:v>0.26260430655975997</c:v>
                </c:pt>
                <c:pt idx="8">
                  <c:v>0.26438615491947404</c:v>
                </c:pt>
                <c:pt idx="9">
                  <c:v>0.26632426161593492</c:v>
                </c:pt>
              </c:numCache>
            </c:numRef>
          </c:val>
          <c:smooth val="0"/>
          <c:extLst>
            <c:ext xmlns:c16="http://schemas.microsoft.com/office/drawing/2014/chart" uri="{C3380CC4-5D6E-409C-BE32-E72D297353CC}">
              <c16:uniqueId val="{00000002-CAF2-40D7-9ED8-A12A48F3AEAC}"/>
            </c:ext>
          </c:extLst>
        </c:ser>
        <c:dLbls>
          <c:showLegendKey val="0"/>
          <c:showVal val="0"/>
          <c:showCatName val="0"/>
          <c:showSerName val="0"/>
          <c:showPercent val="0"/>
          <c:showBubbleSize val="0"/>
        </c:dLbls>
        <c:smooth val="0"/>
        <c:axId val="786701664"/>
        <c:axId val="786700416"/>
      </c:lineChart>
      <c:catAx>
        <c:axId val="78670166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86700416"/>
        <c:crosses val="autoZero"/>
        <c:auto val="1"/>
        <c:lblAlgn val="ctr"/>
        <c:lblOffset val="100"/>
        <c:noMultiLvlLbl val="0"/>
      </c:catAx>
      <c:valAx>
        <c:axId val="786700416"/>
        <c:scaling>
          <c:orientation val="minMax"/>
          <c:min val="0.2"/>
        </c:scaling>
        <c:delete val="0"/>
        <c:axPos val="l"/>
        <c:majorGridlines>
          <c:spPr>
            <a:ln w="3175" cap="flat" cmpd="sng" algn="ctr">
              <a:solidFill>
                <a:srgbClr val="C0C0C0"/>
              </a:solidFill>
              <a:prstDash val="solid"/>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86701664"/>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Drivers!$A$479</c:f>
              <c:strCache>
                <c:ptCount val="1"/>
                <c:pt idx="0">
                  <c:v>Credit Card loans Portfolion (RHS)</c:v>
                </c:pt>
              </c:strCache>
            </c:strRef>
          </c:tx>
          <c:spPr>
            <a:solidFill>
              <a:srgbClr val="000080"/>
            </a:solidFill>
            <a:ln w="25400">
              <a:noFill/>
            </a:ln>
            <a:effectLst/>
          </c:spPr>
          <c:invertIfNegative val="0"/>
          <c:cat>
            <c:numRef>
              <c:f>Drivers!$C$477:$O$477</c:f>
              <c:numCache>
                <c:formatCode>General</c:formatCode>
                <c:ptCount val="1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numCache>
            </c:numRef>
          </c:cat>
          <c:val>
            <c:numRef>
              <c:f>Drivers!$C$479:$O$479</c:f>
              <c:numCache>
                <c:formatCode>0.0</c:formatCode>
                <c:ptCount val="13"/>
                <c:pt idx="0" formatCode="General">
                  <c:v>1623.8</c:v>
                </c:pt>
                <c:pt idx="1">
                  <c:v>2786.5</c:v>
                </c:pt>
                <c:pt idx="2">
                  <c:v>2908.9</c:v>
                </c:pt>
                <c:pt idx="3">
                  <c:v>4651.4038342609774</c:v>
                </c:pt>
                <c:pt idx="4">
                  <c:v>7849.1857313077162</c:v>
                </c:pt>
                <c:pt idx="5">
                  <c:v>11733.617307692306</c:v>
                </c:pt>
                <c:pt idx="6">
                  <c:v>12914.323679005076</c:v>
                </c:pt>
                <c:pt idx="7">
                  <c:v>15508.457676679607</c:v>
                </c:pt>
                <c:pt idx="8">
                  <c:v>18142.025075501937</c:v>
                </c:pt>
                <c:pt idx="9">
                  <c:v>20553.466006874161</c:v>
                </c:pt>
                <c:pt idx="10">
                  <c:v>23002.959996056095</c:v>
                </c:pt>
                <c:pt idx="11">
                  <c:v>25705.262299232472</c:v>
                </c:pt>
                <c:pt idx="12">
                  <c:v>28683.863426496609</c:v>
                </c:pt>
              </c:numCache>
            </c:numRef>
          </c:val>
          <c:extLst>
            <c:ext xmlns:c16="http://schemas.microsoft.com/office/drawing/2014/chart" uri="{C3380CC4-5D6E-409C-BE32-E72D297353CC}">
              <c16:uniqueId val="{00000000-DE50-49AB-AAA9-EA6EFCE98934}"/>
            </c:ext>
          </c:extLst>
        </c:ser>
        <c:dLbls>
          <c:showLegendKey val="0"/>
          <c:showVal val="0"/>
          <c:showCatName val="0"/>
          <c:showSerName val="0"/>
          <c:showPercent val="0"/>
          <c:showBubbleSize val="0"/>
        </c:dLbls>
        <c:gapWidth val="219"/>
        <c:overlap val="-27"/>
        <c:axId val="295641264"/>
        <c:axId val="295645008"/>
      </c:barChart>
      <c:lineChart>
        <c:grouping val="standard"/>
        <c:varyColors val="0"/>
        <c:ser>
          <c:idx val="1"/>
          <c:order val="1"/>
          <c:tx>
            <c:strRef>
              <c:f>Drivers!$A$480</c:f>
              <c:strCache>
                <c:ptCount val="1"/>
                <c:pt idx="0">
                  <c:v>Interest income – credit card</c:v>
                </c:pt>
              </c:strCache>
            </c:strRef>
          </c:tx>
          <c:spPr>
            <a:ln w="25400" cap="rnd">
              <a:solidFill>
                <a:schemeClr val="accent5">
                  <a:lumMod val="40000"/>
                  <a:lumOff val="60000"/>
                </a:schemeClr>
              </a:solidFill>
              <a:prstDash val="solid"/>
              <a:round/>
            </a:ln>
            <a:effectLst/>
          </c:spPr>
          <c:marker>
            <c:symbol val="none"/>
          </c:marker>
          <c:cat>
            <c:numRef>
              <c:f>Drivers!$C$477:$O$477</c:f>
              <c:numCache>
                <c:formatCode>General</c:formatCode>
                <c:ptCount val="13"/>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numCache>
            </c:numRef>
          </c:cat>
          <c:val>
            <c:numRef>
              <c:f>Drivers!$C$480:$O$480</c:f>
              <c:numCache>
                <c:formatCode>General</c:formatCode>
                <c:ptCount val="13"/>
                <c:pt idx="0">
                  <c:v>128.5</c:v>
                </c:pt>
                <c:pt idx="1">
                  <c:v>214.6</c:v>
                </c:pt>
                <c:pt idx="2">
                  <c:v>217.5</c:v>
                </c:pt>
                <c:pt idx="3">
                  <c:v>347.06493506493507</c:v>
                </c:pt>
                <c:pt idx="4">
                  <c:v>964.53937667560342</c:v>
                </c:pt>
                <c:pt idx="5">
                  <c:v>2357.2289669861552</c:v>
                </c:pt>
                <c:pt idx="6">
                  <c:v>3631.9557354050899</c:v>
                </c:pt>
                <c:pt idx="7">
                  <c:v>4039.4641335254896</c:v>
                </c:pt>
                <c:pt idx="8">
                  <c:v>4663.4311080930438</c:v>
                </c:pt>
                <c:pt idx="9">
                  <c:v>4991.366127220278</c:v>
                </c:pt>
                <c:pt idx="10">
                  <c:v>5154.3030525599115</c:v>
                </c:pt>
                <c:pt idx="11">
                  <c:v>5532.6510067015461</c:v>
                </c:pt>
                <c:pt idx="12">
                  <c:v>6202.7276104594494</c:v>
                </c:pt>
              </c:numCache>
            </c:numRef>
          </c:val>
          <c:smooth val="0"/>
          <c:extLst>
            <c:ext xmlns:c16="http://schemas.microsoft.com/office/drawing/2014/chart" uri="{C3380CC4-5D6E-409C-BE32-E72D297353CC}">
              <c16:uniqueId val="{00000001-DE50-49AB-AAA9-EA6EFCE98934}"/>
            </c:ext>
          </c:extLst>
        </c:ser>
        <c:dLbls>
          <c:showLegendKey val="0"/>
          <c:showVal val="0"/>
          <c:showCatName val="0"/>
          <c:showSerName val="0"/>
          <c:showPercent val="0"/>
          <c:showBubbleSize val="0"/>
        </c:dLbls>
        <c:marker val="1"/>
        <c:smooth val="0"/>
        <c:axId val="296056096"/>
        <c:axId val="296061088"/>
      </c:lineChart>
      <c:catAx>
        <c:axId val="29605609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96061088"/>
        <c:crosses val="autoZero"/>
        <c:auto val="1"/>
        <c:lblAlgn val="ctr"/>
        <c:lblOffset val="100"/>
        <c:tickLblSkip val="2"/>
        <c:noMultiLvlLbl val="0"/>
      </c:catAx>
      <c:valAx>
        <c:axId val="296061088"/>
        <c:scaling>
          <c:orientation val="minMax"/>
        </c:scaling>
        <c:delete val="0"/>
        <c:axPos val="l"/>
        <c:majorGridlines>
          <c:spPr>
            <a:ln w="3175" cap="flat" cmpd="sng" algn="ctr">
              <a:solidFill>
                <a:srgbClr val="C0C0C0"/>
              </a:solidFill>
              <a:prstDash val="solid"/>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GB"/>
                  <a:t>USD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96056096"/>
        <c:crosses val="autoZero"/>
        <c:crossBetween val="between"/>
      </c:valAx>
      <c:valAx>
        <c:axId val="295645008"/>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r>
                  <a:rPr lang="en-GB"/>
                  <a:t>USD million</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title>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95641264"/>
        <c:crosses val="max"/>
        <c:crossBetween val="between"/>
      </c:valAx>
      <c:catAx>
        <c:axId val="295641264"/>
        <c:scaling>
          <c:orientation val="minMax"/>
        </c:scaling>
        <c:delete val="1"/>
        <c:axPos val="b"/>
        <c:numFmt formatCode="General" sourceLinked="1"/>
        <c:majorTickMark val="out"/>
        <c:minorTickMark val="none"/>
        <c:tickLblPos val="nextTo"/>
        <c:crossAx val="295645008"/>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tx>
            <c:strRef>
              <c:f>Drivers!$A$507</c:f>
              <c:strCache>
                <c:ptCount val="1"/>
                <c:pt idx="0">
                  <c:v>Personal loans Portfolio</c:v>
                </c:pt>
              </c:strCache>
            </c:strRef>
          </c:tx>
          <c:spPr>
            <a:solidFill>
              <a:srgbClr val="000080"/>
            </a:solidFill>
            <a:ln w="25400">
              <a:noFill/>
            </a:ln>
            <a:effectLst/>
          </c:spPr>
          <c:invertIfNegative val="0"/>
          <c:cat>
            <c:numRef>
              <c:f>Drivers!$D$506:$O$506</c:f>
              <c:numCache>
                <c:formatCode>General</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Drivers!$D$507:$O$507</c:f>
              <c:numCache>
                <c:formatCode>0</c:formatCode>
                <c:ptCount val="12"/>
                <c:pt idx="0">
                  <c:v>58</c:v>
                </c:pt>
                <c:pt idx="1">
                  <c:v>202.32558139534882</c:v>
                </c:pt>
                <c:pt idx="2">
                  <c:v>1194.81</c:v>
                </c:pt>
                <c:pt idx="3">
                  <c:v>1673</c:v>
                </c:pt>
                <c:pt idx="4">
                  <c:v>3202</c:v>
                </c:pt>
                <c:pt idx="5">
                  <c:v>5115.5955553122285</c:v>
                </c:pt>
                <c:pt idx="6">
                  <c:v>7120.1529412615355</c:v>
                </c:pt>
                <c:pt idx="7">
                  <c:v>9275.6117367715942</c:v>
                </c:pt>
                <c:pt idx="8">
                  <c:v>11794.858215714314</c:v>
                </c:pt>
                <c:pt idx="9">
                  <c:v>14389.587426944578</c:v>
                </c:pt>
                <c:pt idx="10">
                  <c:v>16526.910438636209</c:v>
                </c:pt>
                <c:pt idx="11">
                  <c:v>18591.990974353841</c:v>
                </c:pt>
              </c:numCache>
            </c:numRef>
          </c:val>
          <c:extLst>
            <c:ext xmlns:c16="http://schemas.microsoft.com/office/drawing/2014/chart" uri="{C3380CC4-5D6E-409C-BE32-E72D297353CC}">
              <c16:uniqueId val="{00000001-1062-4461-B7EF-5AE313FD2880}"/>
            </c:ext>
          </c:extLst>
        </c:ser>
        <c:dLbls>
          <c:showLegendKey val="0"/>
          <c:showVal val="0"/>
          <c:showCatName val="0"/>
          <c:showSerName val="0"/>
          <c:showPercent val="0"/>
          <c:showBubbleSize val="0"/>
        </c:dLbls>
        <c:gapWidth val="150"/>
        <c:axId val="766262480"/>
        <c:axId val="766262064"/>
      </c:barChart>
      <c:lineChart>
        <c:grouping val="standard"/>
        <c:varyColors val="0"/>
        <c:ser>
          <c:idx val="0"/>
          <c:order val="0"/>
          <c:tx>
            <c:strRef>
              <c:f>Drivers!$A$508</c:f>
              <c:strCache>
                <c:ptCount val="1"/>
                <c:pt idx="0">
                  <c:v>Interest income – lending</c:v>
                </c:pt>
              </c:strCache>
            </c:strRef>
          </c:tx>
          <c:spPr>
            <a:ln w="25400" cap="rnd">
              <a:solidFill>
                <a:schemeClr val="accent5">
                  <a:lumMod val="40000"/>
                  <a:lumOff val="60000"/>
                </a:schemeClr>
              </a:solidFill>
              <a:prstDash val="solid"/>
              <a:round/>
            </a:ln>
            <a:effectLst/>
          </c:spPr>
          <c:marker>
            <c:symbol val="none"/>
          </c:marker>
          <c:cat>
            <c:numRef>
              <c:f>Drivers!$D$506:$O$506</c:f>
              <c:numCache>
                <c:formatCode>General</c:formatCode>
                <c:ptCount val="12"/>
                <c:pt idx="0">
                  <c:v>2019</c:v>
                </c:pt>
                <c:pt idx="1">
                  <c:v>2020</c:v>
                </c:pt>
                <c:pt idx="2">
                  <c:v>2021</c:v>
                </c:pt>
                <c:pt idx="3">
                  <c:v>2022</c:v>
                </c:pt>
                <c:pt idx="4">
                  <c:v>2023</c:v>
                </c:pt>
                <c:pt idx="5">
                  <c:v>2024</c:v>
                </c:pt>
                <c:pt idx="6">
                  <c:v>2025</c:v>
                </c:pt>
                <c:pt idx="7">
                  <c:v>2026</c:v>
                </c:pt>
                <c:pt idx="8">
                  <c:v>2027</c:v>
                </c:pt>
                <c:pt idx="9">
                  <c:v>2028</c:v>
                </c:pt>
                <c:pt idx="10">
                  <c:v>2029</c:v>
                </c:pt>
                <c:pt idx="11">
                  <c:v>2030</c:v>
                </c:pt>
              </c:numCache>
            </c:numRef>
          </c:cat>
          <c:val>
            <c:numRef>
              <c:f>Drivers!$D$508:$O$508</c:f>
              <c:numCache>
                <c:formatCode>0</c:formatCode>
                <c:ptCount val="12"/>
                <c:pt idx="0">
                  <c:v>8.6</c:v>
                </c:pt>
                <c:pt idx="1">
                  <c:v>38.9</c:v>
                </c:pt>
                <c:pt idx="2">
                  <c:v>292.70100000000002</c:v>
                </c:pt>
                <c:pt idx="3">
                  <c:v>932.19600000000003</c:v>
                </c:pt>
                <c:pt idx="4">
                  <c:v>1650</c:v>
                </c:pt>
                <c:pt idx="5">
                  <c:v>3260.3364835642315</c:v>
                </c:pt>
                <c:pt idx="6">
                  <c:v>4750.3494163168734</c:v>
                </c:pt>
                <c:pt idx="7">
                  <c:v>5979.6318237532596</c:v>
                </c:pt>
                <c:pt idx="8">
                  <c:v>7064.8046311276285</c:v>
                </c:pt>
                <c:pt idx="9">
                  <c:v>8163.3859944760079</c:v>
                </c:pt>
                <c:pt idx="10">
                  <c:v>9093.0876075237611</c:v>
                </c:pt>
                <c:pt idx="11">
                  <c:v>10329.088650879428</c:v>
                </c:pt>
              </c:numCache>
            </c:numRef>
          </c:val>
          <c:smooth val="0"/>
          <c:extLst>
            <c:ext xmlns:c16="http://schemas.microsoft.com/office/drawing/2014/chart" uri="{C3380CC4-5D6E-409C-BE32-E72D297353CC}">
              <c16:uniqueId val="{00000000-1062-4461-B7EF-5AE313FD2880}"/>
            </c:ext>
          </c:extLst>
        </c:ser>
        <c:dLbls>
          <c:showLegendKey val="0"/>
          <c:showVal val="0"/>
          <c:showCatName val="0"/>
          <c:showSerName val="0"/>
          <c:showPercent val="0"/>
          <c:showBubbleSize val="0"/>
        </c:dLbls>
        <c:marker val="1"/>
        <c:smooth val="0"/>
        <c:axId val="296056096"/>
        <c:axId val="296061088"/>
      </c:lineChart>
      <c:catAx>
        <c:axId val="296056096"/>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96061088"/>
        <c:crosses val="autoZero"/>
        <c:auto val="1"/>
        <c:lblAlgn val="ctr"/>
        <c:lblOffset val="100"/>
        <c:tickLblSkip val="1"/>
        <c:noMultiLvlLbl val="0"/>
      </c:catAx>
      <c:valAx>
        <c:axId val="296061088"/>
        <c:scaling>
          <c:orientation val="minMax"/>
        </c:scaling>
        <c:delete val="0"/>
        <c:axPos val="l"/>
        <c:majorGridlines>
          <c:spPr>
            <a:ln w="3175" cap="flat" cmpd="sng" algn="ctr">
              <a:solidFill>
                <a:srgbClr val="C0C0C0"/>
              </a:solidFill>
              <a:prstDash val="solid"/>
              <a:round/>
            </a:ln>
            <a:effectLst/>
          </c:spPr>
        </c:majorGridlines>
        <c:numFmt formatCode="#,##0" sourceLinked="0"/>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296056096"/>
        <c:crosses val="autoZero"/>
        <c:crossBetween val="between"/>
      </c:valAx>
      <c:valAx>
        <c:axId val="766262064"/>
        <c:scaling>
          <c:orientation val="minMax"/>
        </c:scaling>
        <c:delete val="0"/>
        <c:axPos val="r"/>
        <c:numFmt formatCode="#,##0" sourceLinked="0"/>
        <c:majorTickMark val="out"/>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766262480"/>
        <c:crosses val="max"/>
        <c:crossBetween val="between"/>
      </c:valAx>
      <c:catAx>
        <c:axId val="766262480"/>
        <c:scaling>
          <c:orientation val="minMax"/>
        </c:scaling>
        <c:delete val="1"/>
        <c:axPos val="b"/>
        <c:numFmt formatCode="General" sourceLinked="1"/>
        <c:majorTickMark val="out"/>
        <c:minorTickMark val="none"/>
        <c:tickLblPos val="nextTo"/>
        <c:crossAx val="766262064"/>
        <c:crosses val="autoZero"/>
        <c:auto val="1"/>
        <c:lblAlgn val="ctr"/>
        <c:lblOffset val="100"/>
        <c:noMultiLvlLbl val="0"/>
      </c:cat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Drivers!$A$527</c:f>
              <c:strCache>
                <c:ptCount val="1"/>
                <c:pt idx="0">
                  <c:v>Banking Revenues</c:v>
                </c:pt>
              </c:strCache>
            </c:strRef>
          </c:tx>
          <c:spPr>
            <a:ln w="25400" cap="rnd">
              <a:solidFill>
                <a:srgbClr val="333399"/>
              </a:solidFill>
              <a:prstDash val="solid"/>
              <a:round/>
            </a:ln>
            <a:effectLst/>
          </c:spPr>
          <c:marker>
            <c:symbol val="none"/>
          </c:marker>
          <c:cat>
            <c:numRef>
              <c:f>Drivers!$F$526:$O$526</c:f>
              <c:numCache>
                <c:formatCode>General</c:formatCode>
                <c:ptCount val="10"/>
                <c:pt idx="0">
                  <c:v>2021</c:v>
                </c:pt>
                <c:pt idx="1">
                  <c:v>2022</c:v>
                </c:pt>
                <c:pt idx="2">
                  <c:v>2023</c:v>
                </c:pt>
                <c:pt idx="3">
                  <c:v>2024</c:v>
                </c:pt>
                <c:pt idx="4">
                  <c:v>2025</c:v>
                </c:pt>
                <c:pt idx="5">
                  <c:v>2026</c:v>
                </c:pt>
                <c:pt idx="6">
                  <c:v>2027</c:v>
                </c:pt>
                <c:pt idx="7">
                  <c:v>2028</c:v>
                </c:pt>
                <c:pt idx="8">
                  <c:v>2029</c:v>
                </c:pt>
                <c:pt idx="9">
                  <c:v>2030</c:v>
                </c:pt>
              </c:numCache>
            </c:numRef>
          </c:cat>
          <c:val>
            <c:numRef>
              <c:f>Drivers!$F$527:$O$527</c:f>
              <c:numCache>
                <c:formatCode>0%</c:formatCode>
                <c:ptCount val="10"/>
                <c:pt idx="0">
                  <c:v>1</c:v>
                </c:pt>
                <c:pt idx="1">
                  <c:v>0.9825175455785744</c:v>
                </c:pt>
                <c:pt idx="2">
                  <c:v>0.98311056275114406</c:v>
                </c:pt>
                <c:pt idx="3">
                  <c:v>0.98387411624259413</c:v>
                </c:pt>
                <c:pt idx="4">
                  <c:v>0.98316989745956285</c:v>
                </c:pt>
                <c:pt idx="5">
                  <c:v>0.98241707199953032</c:v>
                </c:pt>
                <c:pt idx="6">
                  <c:v>0.98077556200044258</c:v>
                </c:pt>
                <c:pt idx="7">
                  <c:v>0.97972639861708655</c:v>
                </c:pt>
                <c:pt idx="8">
                  <c:v>0.9788435415268214</c:v>
                </c:pt>
                <c:pt idx="9">
                  <c:v>0.97844937364585061</c:v>
                </c:pt>
              </c:numCache>
            </c:numRef>
          </c:val>
          <c:smooth val="0"/>
          <c:extLst>
            <c:ext xmlns:c16="http://schemas.microsoft.com/office/drawing/2014/chart" uri="{C3380CC4-5D6E-409C-BE32-E72D297353CC}">
              <c16:uniqueId val="{00000000-C342-4CF1-90F8-CAC07039D50B}"/>
            </c:ext>
          </c:extLst>
        </c:ser>
        <c:ser>
          <c:idx val="1"/>
          <c:order val="1"/>
          <c:tx>
            <c:strRef>
              <c:f>Drivers!$A$528</c:f>
              <c:strCache>
                <c:ptCount val="1"/>
                <c:pt idx="0">
                  <c:v>Other businesses</c:v>
                </c:pt>
              </c:strCache>
            </c:strRef>
          </c:tx>
          <c:spPr>
            <a:ln w="25400" cap="rnd">
              <a:solidFill>
                <a:srgbClr val="99CCFF"/>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Drivers!$F$526:$O$526</c:f>
              <c:numCache>
                <c:formatCode>General</c:formatCode>
                <c:ptCount val="10"/>
                <c:pt idx="0">
                  <c:v>2021</c:v>
                </c:pt>
                <c:pt idx="1">
                  <c:v>2022</c:v>
                </c:pt>
                <c:pt idx="2">
                  <c:v>2023</c:v>
                </c:pt>
                <c:pt idx="3">
                  <c:v>2024</c:v>
                </c:pt>
                <c:pt idx="4">
                  <c:v>2025</c:v>
                </c:pt>
                <c:pt idx="5">
                  <c:v>2026</c:v>
                </c:pt>
                <c:pt idx="6">
                  <c:v>2027</c:v>
                </c:pt>
                <c:pt idx="7">
                  <c:v>2028</c:v>
                </c:pt>
                <c:pt idx="8">
                  <c:v>2029</c:v>
                </c:pt>
                <c:pt idx="9">
                  <c:v>2030</c:v>
                </c:pt>
              </c:numCache>
            </c:numRef>
          </c:cat>
          <c:val>
            <c:numRef>
              <c:f>Drivers!$F$528:$O$528</c:f>
              <c:numCache>
                <c:formatCode>0%</c:formatCode>
                <c:ptCount val="10"/>
                <c:pt idx="0">
                  <c:v>0</c:v>
                </c:pt>
                <c:pt idx="1">
                  <c:v>1.7482454421425604E-2</c:v>
                </c:pt>
                <c:pt idx="2">
                  <c:v>1.688943724885595E-2</c:v>
                </c:pt>
                <c:pt idx="3">
                  <c:v>1.6125883757405965E-2</c:v>
                </c:pt>
                <c:pt idx="4">
                  <c:v>1.6830102540437195E-2</c:v>
                </c:pt>
                <c:pt idx="5">
                  <c:v>1.7582928000469594E-2</c:v>
                </c:pt>
                <c:pt idx="6">
                  <c:v>1.9224437999557531E-2</c:v>
                </c:pt>
                <c:pt idx="7">
                  <c:v>2.0273601382913467E-2</c:v>
                </c:pt>
                <c:pt idx="8">
                  <c:v>2.11564584731786E-2</c:v>
                </c:pt>
                <c:pt idx="9">
                  <c:v>2.1550626354149487E-2</c:v>
                </c:pt>
              </c:numCache>
            </c:numRef>
          </c:val>
          <c:smooth val="0"/>
          <c:extLst>
            <c:ext xmlns:c16="http://schemas.microsoft.com/office/drawing/2014/chart" uri="{C3380CC4-5D6E-409C-BE32-E72D297353CC}">
              <c16:uniqueId val="{00000001-C342-4CF1-90F8-CAC07039D50B}"/>
            </c:ext>
          </c:extLst>
        </c:ser>
        <c:dLbls>
          <c:showLegendKey val="0"/>
          <c:showVal val="0"/>
          <c:showCatName val="0"/>
          <c:showSerName val="0"/>
          <c:showPercent val="0"/>
          <c:showBubbleSize val="0"/>
        </c:dLbls>
        <c:smooth val="0"/>
        <c:axId val="881204752"/>
        <c:axId val="881215152"/>
      </c:lineChart>
      <c:catAx>
        <c:axId val="881204752"/>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1215152"/>
        <c:crosses val="autoZero"/>
        <c:auto val="1"/>
        <c:lblAlgn val="ctr"/>
        <c:lblOffset val="100"/>
        <c:noMultiLvlLbl val="0"/>
      </c:catAx>
      <c:valAx>
        <c:axId val="881215152"/>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881204752"/>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Drivers!$A$300</c:f>
              <c:strCache>
                <c:ptCount val="1"/>
                <c:pt idx="0">
                  <c:v>Credit card</c:v>
                </c:pt>
              </c:strCache>
            </c:strRef>
          </c:tx>
          <c:spPr>
            <a:ln w="25400" cap="rnd">
              <a:solidFill>
                <a:srgbClr val="333399"/>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Drivers!$B$299:$G$299</c:f>
              <c:numCache>
                <c:formatCode>General</c:formatCode>
                <c:ptCount val="6"/>
                <c:pt idx="0">
                  <c:v>2020</c:v>
                </c:pt>
                <c:pt idx="1">
                  <c:v>2021</c:v>
                </c:pt>
                <c:pt idx="2">
                  <c:v>2022</c:v>
                </c:pt>
                <c:pt idx="3">
                  <c:v>2023</c:v>
                </c:pt>
                <c:pt idx="4">
                  <c:v>2024</c:v>
                </c:pt>
                <c:pt idx="5">
                  <c:v>2025</c:v>
                </c:pt>
              </c:numCache>
            </c:numRef>
          </c:cat>
          <c:val>
            <c:numRef>
              <c:f>Drivers!$B$300:$G$300</c:f>
              <c:numCache>
                <c:formatCode>0%</c:formatCode>
                <c:ptCount val="6"/>
                <c:pt idx="0">
                  <c:v>1.9954128440366974E-2</c:v>
                </c:pt>
                <c:pt idx="1">
                  <c:v>2.9059767600280832E-2</c:v>
                </c:pt>
                <c:pt idx="2">
                  <c:v>7.3920142845434939E-2</c:v>
                </c:pt>
                <c:pt idx="3">
                  <c:v>0.1671902719976871</c:v>
                </c:pt>
                <c:pt idx="4">
                  <c:v>0.25343285495741208</c:v>
                </c:pt>
                <c:pt idx="5">
                  <c:v>0.26216963125430509</c:v>
                </c:pt>
              </c:numCache>
            </c:numRef>
          </c:val>
          <c:smooth val="0"/>
          <c:extLst>
            <c:ext xmlns:c16="http://schemas.microsoft.com/office/drawing/2014/chart" uri="{C3380CC4-5D6E-409C-BE32-E72D297353CC}">
              <c16:uniqueId val="{00000000-CF6E-4818-9259-31D1CCC71AB3}"/>
            </c:ext>
          </c:extLst>
        </c:ser>
        <c:ser>
          <c:idx val="1"/>
          <c:order val="1"/>
          <c:tx>
            <c:strRef>
              <c:f>Drivers!$A$301</c:f>
              <c:strCache>
                <c:ptCount val="1"/>
                <c:pt idx="0">
                  <c:v>Personal loans</c:v>
                </c:pt>
              </c:strCache>
            </c:strRef>
          </c:tx>
          <c:spPr>
            <a:ln w="25400" cap="rnd">
              <a:solidFill>
                <a:srgbClr val="99CCFF"/>
              </a:solidFill>
              <a:prstDash val="solid"/>
              <a:round/>
            </a:ln>
            <a:effectLst/>
          </c:spPr>
          <c:marker>
            <c:symbol val="none"/>
          </c:marker>
          <c:dLbls>
            <c:dLbl>
              <c:idx val="0"/>
              <c:layout>
                <c:manualLayout>
                  <c:x val="-5.0222222222222244E-2"/>
                  <c:y val="-4.770815106445027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F6E-4818-9259-31D1CCC71AB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Drivers!$B$299:$G$299</c:f>
              <c:numCache>
                <c:formatCode>General</c:formatCode>
                <c:ptCount val="6"/>
                <c:pt idx="0">
                  <c:v>2020</c:v>
                </c:pt>
                <c:pt idx="1">
                  <c:v>2021</c:v>
                </c:pt>
                <c:pt idx="2">
                  <c:v>2022</c:v>
                </c:pt>
                <c:pt idx="3">
                  <c:v>2023</c:v>
                </c:pt>
                <c:pt idx="4">
                  <c:v>2024</c:v>
                </c:pt>
                <c:pt idx="5">
                  <c:v>2025</c:v>
                </c:pt>
              </c:numCache>
            </c:numRef>
          </c:cat>
          <c:val>
            <c:numRef>
              <c:f>Drivers!$B$301:$G$301</c:f>
              <c:numCache>
                <c:formatCode>0%</c:formatCode>
                <c:ptCount val="6"/>
                <c:pt idx="0">
                  <c:v>2.6462585034013604E-3</c:v>
                </c:pt>
                <c:pt idx="1">
                  <c:v>1.7808904464807592E-2</c:v>
                </c:pt>
                <c:pt idx="2">
                  <c:v>5.1105211778368666E-2</c:v>
                </c:pt>
                <c:pt idx="3">
                  <c:v>8.2865404133252232E-2</c:v>
                </c:pt>
                <c:pt idx="4">
                  <c:v>0.15433038610802302</c:v>
                </c:pt>
                <c:pt idx="5">
                  <c:v>0.19897890956754408</c:v>
                </c:pt>
              </c:numCache>
            </c:numRef>
          </c:val>
          <c:smooth val="0"/>
          <c:extLst>
            <c:ext xmlns:c16="http://schemas.microsoft.com/office/drawing/2014/chart" uri="{C3380CC4-5D6E-409C-BE32-E72D297353CC}">
              <c16:uniqueId val="{00000001-CF6E-4818-9259-31D1CCC71AB3}"/>
            </c:ext>
          </c:extLst>
        </c:ser>
        <c:dLbls>
          <c:showLegendKey val="0"/>
          <c:showVal val="0"/>
          <c:showCatName val="0"/>
          <c:showSerName val="0"/>
          <c:showPercent val="0"/>
          <c:showBubbleSize val="0"/>
        </c:dLbls>
        <c:smooth val="0"/>
        <c:axId val="104029488"/>
        <c:axId val="104029904"/>
      </c:lineChart>
      <c:catAx>
        <c:axId val="104029488"/>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4029904"/>
        <c:crosses val="autoZero"/>
        <c:auto val="1"/>
        <c:lblAlgn val="ctr"/>
        <c:lblOffset val="100"/>
        <c:noMultiLvlLbl val="0"/>
      </c:catAx>
      <c:valAx>
        <c:axId val="104029904"/>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104029488"/>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1"/>
          <c:order val="1"/>
          <c:spPr>
            <a:solidFill>
              <a:srgbClr val="333399"/>
            </a:solidFill>
            <a:ln w="25400">
              <a:solidFill>
                <a:srgbClr val="333399"/>
              </a:solidFill>
              <a:prstDash val="solid"/>
            </a:ln>
            <a:effectLst/>
          </c:spPr>
          <c:invertIfNegative val="0"/>
          <c:cat>
            <c:numRef>
              <c:f>Analysis!$F$109:$N$109</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Analysis!$F$111:$N$111</c:f>
              <c:numCache>
                <c:formatCode>General</c:formatCode>
                <c:ptCount val="9"/>
                <c:pt idx="0">
                  <c:v>0.49765798503160502</c:v>
                </c:pt>
                <c:pt idx="1">
                  <c:v>0.86079301929473906</c:v>
                </c:pt>
                <c:pt idx="2">
                  <c:v>0.81865223570289192</c:v>
                </c:pt>
                <c:pt idx="3">
                  <c:v>0.505436019294211</c:v>
                </c:pt>
                <c:pt idx="4">
                  <c:v>0.66002037342098796</c:v>
                </c:pt>
                <c:pt idx="5">
                  <c:v>1.10035903296937</c:v>
                </c:pt>
                <c:pt idx="6">
                  <c:v>1.5116587412167699</c:v>
                </c:pt>
                <c:pt idx="7">
                  <c:v>2.0580437370142599</c:v>
                </c:pt>
                <c:pt idx="8">
                  <c:v>2.4375236927837802</c:v>
                </c:pt>
              </c:numCache>
            </c:numRef>
          </c:val>
          <c:extLst>
            <c:ext xmlns:c16="http://schemas.microsoft.com/office/drawing/2014/chart" uri="{C3380CC4-5D6E-409C-BE32-E72D297353CC}">
              <c16:uniqueId val="{00000002-D64D-4774-80F8-1D29DE26A247}"/>
            </c:ext>
          </c:extLst>
        </c:ser>
        <c:dLbls>
          <c:showLegendKey val="0"/>
          <c:showVal val="0"/>
          <c:showCatName val="0"/>
          <c:showSerName val="0"/>
          <c:showPercent val="0"/>
          <c:showBubbleSize val="0"/>
        </c:dLbls>
        <c:gapWidth val="150"/>
        <c:axId val="994865375"/>
        <c:axId val="994883263"/>
      </c:barChart>
      <c:lineChart>
        <c:grouping val="standard"/>
        <c:varyColors val="0"/>
        <c:ser>
          <c:idx val="0"/>
          <c:order val="0"/>
          <c:spPr>
            <a:ln w="25400" cap="rnd">
              <a:solidFill>
                <a:srgbClr val="9999FF"/>
              </a:solidFill>
              <a:prstDash val="solid"/>
              <a:round/>
            </a:ln>
            <a:effectLst/>
          </c:spPr>
          <c:marker>
            <c:symbol val="none"/>
          </c:marker>
          <c:dLbls>
            <c:dLbl>
              <c:idx val="8"/>
              <c:layout>
                <c:manualLayout>
                  <c:x val="6.2637795275590552E-3"/>
                  <c:y val="-3.61340769903762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4D-4774-80F8-1D29DE26A24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Analysis!$F$109:$N$109</c:f>
              <c:numCache>
                <c:formatCode>General</c:formatCode>
                <c:ptCount val="9"/>
                <c:pt idx="0">
                  <c:v>2012</c:v>
                </c:pt>
                <c:pt idx="1">
                  <c:v>2013</c:v>
                </c:pt>
                <c:pt idx="2">
                  <c:v>2014</c:v>
                </c:pt>
                <c:pt idx="3">
                  <c:v>2015</c:v>
                </c:pt>
                <c:pt idx="4">
                  <c:v>2016</c:v>
                </c:pt>
                <c:pt idx="5">
                  <c:v>2017</c:v>
                </c:pt>
                <c:pt idx="6">
                  <c:v>2018</c:v>
                </c:pt>
                <c:pt idx="7">
                  <c:v>2019</c:v>
                </c:pt>
                <c:pt idx="8">
                  <c:v>2020</c:v>
                </c:pt>
              </c:numCache>
            </c:numRef>
          </c:cat>
          <c:val>
            <c:numRef>
              <c:f>Analysis!$F$110:$N$110</c:f>
              <c:numCache>
                <c:formatCode>0%</c:formatCode>
                <c:ptCount val="9"/>
                <c:pt idx="0">
                  <c:v>0.245</c:v>
                </c:pt>
                <c:pt idx="1">
                  <c:v>0.2099</c:v>
                </c:pt>
                <c:pt idx="2">
                  <c:v>0.11</c:v>
                </c:pt>
                <c:pt idx="3">
                  <c:v>6.0400000000000002E-2</c:v>
                </c:pt>
                <c:pt idx="4">
                  <c:v>0.25</c:v>
                </c:pt>
                <c:pt idx="5">
                  <c:v>0.2964</c:v>
                </c:pt>
                <c:pt idx="6">
                  <c:v>0.28660000000000002</c:v>
                </c:pt>
                <c:pt idx="7">
                  <c:v>0.27139999999999997</c:v>
                </c:pt>
                <c:pt idx="8">
                  <c:v>0.252</c:v>
                </c:pt>
              </c:numCache>
            </c:numRef>
          </c:val>
          <c:smooth val="0"/>
          <c:extLst>
            <c:ext xmlns:c16="http://schemas.microsoft.com/office/drawing/2014/chart" uri="{C3380CC4-5D6E-409C-BE32-E72D297353CC}">
              <c16:uniqueId val="{00000000-D64D-4774-80F8-1D29DE26A247}"/>
            </c:ext>
          </c:extLst>
        </c:ser>
        <c:dLbls>
          <c:showLegendKey val="0"/>
          <c:showVal val="0"/>
          <c:showCatName val="0"/>
          <c:showSerName val="0"/>
          <c:showPercent val="0"/>
          <c:showBubbleSize val="0"/>
        </c:dLbls>
        <c:marker val="1"/>
        <c:smooth val="0"/>
        <c:axId val="515831439"/>
        <c:axId val="515830191"/>
      </c:lineChart>
      <c:catAx>
        <c:axId val="515831439"/>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15830191"/>
        <c:crosses val="autoZero"/>
        <c:auto val="1"/>
        <c:lblAlgn val="ctr"/>
        <c:lblOffset val="100"/>
        <c:noMultiLvlLbl val="0"/>
      </c:catAx>
      <c:valAx>
        <c:axId val="515830191"/>
        <c:scaling>
          <c:orientation val="minMax"/>
        </c:scaling>
        <c:delete val="0"/>
        <c:axPos val="l"/>
        <c:majorGridlines>
          <c:spPr>
            <a:ln w="3175" cap="flat" cmpd="sng" algn="ctr">
              <a:solidFill>
                <a:srgbClr val="C0C0C0"/>
              </a:solidFill>
              <a:prstDash val="solid"/>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15831439"/>
        <c:crosses val="autoZero"/>
        <c:crossBetween val="between"/>
      </c:valAx>
      <c:valAx>
        <c:axId val="994883263"/>
        <c:scaling>
          <c:orientation val="minMax"/>
        </c:scaling>
        <c:delete val="0"/>
        <c:axPos val="r"/>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994865375"/>
        <c:crosses val="max"/>
        <c:crossBetween val="between"/>
      </c:valAx>
      <c:catAx>
        <c:axId val="994865375"/>
        <c:scaling>
          <c:orientation val="minMax"/>
        </c:scaling>
        <c:delete val="1"/>
        <c:axPos val="b"/>
        <c:numFmt formatCode="General" sourceLinked="1"/>
        <c:majorTickMark val="out"/>
        <c:minorTickMark val="none"/>
        <c:tickLblPos val="nextTo"/>
        <c:crossAx val="994883263"/>
        <c:crosses val="autoZero"/>
        <c:auto val="1"/>
        <c:lblAlgn val="ctr"/>
        <c:lblOffset val="100"/>
        <c:noMultiLvlLbl val="0"/>
      </c:cat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rgbClr val="263238"/>
              </a:solidFill>
              <a:prstDash val="solid"/>
              <a:round/>
            </a:ln>
            <a:effectLst/>
          </c:spPr>
          <c:marker>
            <c:symbol val="none"/>
          </c:marker>
          <c:cat>
            <c:strRef>
              <c:f>bcb!$C$15:$C$38</c:f>
              <c:strCache>
                <c:ptCount val="24"/>
                <c:pt idx="0">
                  <c:v>dez-2021</c:v>
                </c:pt>
                <c:pt idx="1">
                  <c:v>jan-2022</c:v>
                </c:pt>
                <c:pt idx="2">
                  <c:v>fev-2022</c:v>
                </c:pt>
                <c:pt idx="3">
                  <c:v>mar-2022</c:v>
                </c:pt>
                <c:pt idx="4">
                  <c:v>abr-2022</c:v>
                </c:pt>
                <c:pt idx="5">
                  <c:v>mai-2022</c:v>
                </c:pt>
                <c:pt idx="6">
                  <c:v>jun-2022</c:v>
                </c:pt>
                <c:pt idx="7">
                  <c:v>jul-2022</c:v>
                </c:pt>
                <c:pt idx="8">
                  <c:v>ago-2022</c:v>
                </c:pt>
                <c:pt idx="9">
                  <c:v>set-2022</c:v>
                </c:pt>
                <c:pt idx="10">
                  <c:v>out-2022</c:v>
                </c:pt>
                <c:pt idx="11">
                  <c:v>nov-2022</c:v>
                </c:pt>
                <c:pt idx="12">
                  <c:v>dez-2022</c:v>
                </c:pt>
                <c:pt idx="13">
                  <c:v>jan-2023</c:v>
                </c:pt>
                <c:pt idx="14">
                  <c:v>fev-2023</c:v>
                </c:pt>
                <c:pt idx="15">
                  <c:v>mar-2023</c:v>
                </c:pt>
                <c:pt idx="16">
                  <c:v>abr-2023</c:v>
                </c:pt>
                <c:pt idx="17">
                  <c:v>mai-2023</c:v>
                </c:pt>
                <c:pt idx="18">
                  <c:v>jun-2023</c:v>
                </c:pt>
                <c:pt idx="19">
                  <c:v>jul-2023</c:v>
                </c:pt>
                <c:pt idx="20">
                  <c:v>ago-2023</c:v>
                </c:pt>
                <c:pt idx="21">
                  <c:v>set-2023</c:v>
                </c:pt>
                <c:pt idx="22">
                  <c:v>out-2023</c:v>
                </c:pt>
                <c:pt idx="23">
                  <c:v>nov-2023</c:v>
                </c:pt>
              </c:strCache>
            </c:strRef>
          </c:cat>
          <c:val>
            <c:numRef>
              <c:f>bcb!$P$15:$P$38</c:f>
              <c:numCache>
                <c:formatCode>0%</c:formatCode>
                <c:ptCount val="24"/>
                <c:pt idx="0">
                  <c:v>0.3833302674047192</c:v>
                </c:pt>
                <c:pt idx="1">
                  <c:v>0.42024696946122186</c:v>
                </c:pt>
                <c:pt idx="2">
                  <c:v>0.44603416000430474</c:v>
                </c:pt>
                <c:pt idx="3">
                  <c:v>0.4908805554224982</c:v>
                </c:pt>
                <c:pt idx="4">
                  <c:v>0.51145685208420466</c:v>
                </c:pt>
                <c:pt idx="5">
                  <c:v>0.4986179988623527</c:v>
                </c:pt>
                <c:pt idx="6">
                  <c:v>0.4851791475897429</c:v>
                </c:pt>
                <c:pt idx="7">
                  <c:v>0.4723719012648826</c:v>
                </c:pt>
                <c:pt idx="8">
                  <c:v>0.45084238204216787</c:v>
                </c:pt>
                <c:pt idx="9">
                  <c:v>0.42169176470588243</c:v>
                </c:pt>
                <c:pt idx="10">
                  <c:v>0.38826163283380133</c:v>
                </c:pt>
                <c:pt idx="11">
                  <c:v>0.32692283671761468</c:v>
                </c:pt>
                <c:pt idx="12">
                  <c:v>0.29967923532279972</c:v>
                </c:pt>
                <c:pt idx="13">
                  <c:v>0.29615406066497219</c:v>
                </c:pt>
                <c:pt idx="14">
                  <c:v>0.26764055550441745</c:v>
                </c:pt>
                <c:pt idx="15">
                  <c:v>0.24492596127495903</c:v>
                </c:pt>
                <c:pt idx="16">
                  <c:v>0.21496668413013476</c:v>
                </c:pt>
                <c:pt idx="17">
                  <c:v>0.19600191030137148</c:v>
                </c:pt>
                <c:pt idx="18">
                  <c:v>0.1637455360268889</c:v>
                </c:pt>
                <c:pt idx="19">
                  <c:v>0.15046308211257409</c:v>
                </c:pt>
                <c:pt idx="20">
                  <c:v>0.13368091972231122</c:v>
                </c:pt>
                <c:pt idx="21">
                  <c:v>9.9114724958996758E-2</c:v>
                </c:pt>
                <c:pt idx="22">
                  <c:v>8.0383540528550235E-2</c:v>
                </c:pt>
                <c:pt idx="23">
                  <c:v>8.2678326571467231E-2</c:v>
                </c:pt>
              </c:numCache>
            </c:numRef>
          </c:val>
          <c:smooth val="0"/>
          <c:extLst>
            <c:ext xmlns:c16="http://schemas.microsoft.com/office/drawing/2014/chart" uri="{C3380CC4-5D6E-409C-BE32-E72D297353CC}">
              <c16:uniqueId val="{00000000-2359-4567-BCD5-3E27BC497995}"/>
            </c:ext>
          </c:extLst>
        </c:ser>
        <c:dLbls>
          <c:showLegendKey val="0"/>
          <c:showVal val="0"/>
          <c:showCatName val="0"/>
          <c:showSerName val="0"/>
          <c:showPercent val="0"/>
          <c:showBubbleSize val="0"/>
        </c:dLbls>
        <c:smooth val="0"/>
        <c:axId val="1289777055"/>
        <c:axId val="1475483711"/>
      </c:lineChart>
      <c:catAx>
        <c:axId val="1289777055"/>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75483711"/>
        <c:crosses val="autoZero"/>
        <c:auto val="1"/>
        <c:lblAlgn val="ctr"/>
        <c:lblOffset val="100"/>
        <c:noMultiLvlLbl val="0"/>
      </c:catAx>
      <c:valAx>
        <c:axId val="1475483711"/>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289777055"/>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rgbClr val="263238"/>
              </a:solidFill>
              <a:prstDash val="solid"/>
              <a:round/>
            </a:ln>
            <a:effectLst/>
          </c:spPr>
          <c:marker>
            <c:symbol val="none"/>
          </c:marker>
          <c:cat>
            <c:strRef>
              <c:f>bcb!$C$15:$C$38</c:f>
              <c:strCache>
                <c:ptCount val="24"/>
                <c:pt idx="0">
                  <c:v>dez-2021</c:v>
                </c:pt>
                <c:pt idx="1">
                  <c:v>jan-2022</c:v>
                </c:pt>
                <c:pt idx="2">
                  <c:v>fev-2022</c:v>
                </c:pt>
                <c:pt idx="3">
                  <c:v>mar-2022</c:v>
                </c:pt>
                <c:pt idx="4">
                  <c:v>abr-2022</c:v>
                </c:pt>
                <c:pt idx="5">
                  <c:v>mai-2022</c:v>
                </c:pt>
                <c:pt idx="6">
                  <c:v>jun-2022</c:v>
                </c:pt>
                <c:pt idx="7">
                  <c:v>jul-2022</c:v>
                </c:pt>
                <c:pt idx="8">
                  <c:v>ago-2022</c:v>
                </c:pt>
                <c:pt idx="9">
                  <c:v>set-2022</c:v>
                </c:pt>
                <c:pt idx="10">
                  <c:v>out-2022</c:v>
                </c:pt>
                <c:pt idx="11">
                  <c:v>nov-2022</c:v>
                </c:pt>
                <c:pt idx="12">
                  <c:v>dez-2022</c:v>
                </c:pt>
                <c:pt idx="13">
                  <c:v>jan-2023</c:v>
                </c:pt>
                <c:pt idx="14">
                  <c:v>fev-2023</c:v>
                </c:pt>
                <c:pt idx="15">
                  <c:v>mar-2023</c:v>
                </c:pt>
                <c:pt idx="16">
                  <c:v>abr-2023</c:v>
                </c:pt>
                <c:pt idx="17">
                  <c:v>mai-2023</c:v>
                </c:pt>
                <c:pt idx="18">
                  <c:v>jun-2023</c:v>
                </c:pt>
                <c:pt idx="19">
                  <c:v>jul-2023</c:v>
                </c:pt>
                <c:pt idx="20">
                  <c:v>ago-2023</c:v>
                </c:pt>
                <c:pt idx="21">
                  <c:v>set-2023</c:v>
                </c:pt>
                <c:pt idx="22">
                  <c:v>out-2023</c:v>
                </c:pt>
                <c:pt idx="23">
                  <c:v>nov-2023</c:v>
                </c:pt>
              </c:strCache>
            </c:strRef>
          </c:cat>
          <c:val>
            <c:numRef>
              <c:f>bcb!$AB$15:$AB$38</c:f>
              <c:numCache>
                <c:formatCode>0%</c:formatCode>
                <c:ptCount val="24"/>
                <c:pt idx="0">
                  <c:v>0.41082478369183795</c:v>
                </c:pt>
                <c:pt idx="1">
                  <c:v>0.43313892391761244</c:v>
                </c:pt>
                <c:pt idx="2">
                  <c:v>0.42301605100438922</c:v>
                </c:pt>
                <c:pt idx="3">
                  <c:v>0.40814327603201273</c:v>
                </c:pt>
                <c:pt idx="4">
                  <c:v>0.39602592002133741</c:v>
                </c:pt>
                <c:pt idx="5">
                  <c:v>0.39257871733119254</c:v>
                </c:pt>
                <c:pt idx="6">
                  <c:v>0.37217392310987107</c:v>
                </c:pt>
                <c:pt idx="7">
                  <c:v>0.34644770648391243</c:v>
                </c:pt>
                <c:pt idx="8">
                  <c:v>0.30254492147499801</c:v>
                </c:pt>
                <c:pt idx="9">
                  <c:v>0.26472081218274113</c:v>
                </c:pt>
                <c:pt idx="10">
                  <c:v>0.22520164388722819</c:v>
                </c:pt>
                <c:pt idx="11">
                  <c:v>0.20949179913224514</c:v>
                </c:pt>
                <c:pt idx="12">
                  <c:v>0.18671856457967428</c:v>
                </c:pt>
                <c:pt idx="13">
                  <c:v>0.16145900166816363</c:v>
                </c:pt>
                <c:pt idx="14">
                  <c:v>0.14594993763592901</c:v>
                </c:pt>
                <c:pt idx="15">
                  <c:v>0.11622327194924909</c:v>
                </c:pt>
                <c:pt idx="16">
                  <c:v>0.12234423645576875</c:v>
                </c:pt>
                <c:pt idx="17">
                  <c:v>0.11607161920378517</c:v>
                </c:pt>
                <c:pt idx="18">
                  <c:v>8.5027313184147912E-2</c:v>
                </c:pt>
                <c:pt idx="19">
                  <c:v>7.0703232648834602E-2</c:v>
                </c:pt>
                <c:pt idx="20">
                  <c:v>7.6286194255261064E-2</c:v>
                </c:pt>
                <c:pt idx="21">
                  <c:v>6.9747345054818943E-2</c:v>
                </c:pt>
                <c:pt idx="22">
                  <c:v>7.0485223189719282E-2</c:v>
                </c:pt>
                <c:pt idx="23">
                  <c:v>7.2710601350454596E-2</c:v>
                </c:pt>
              </c:numCache>
            </c:numRef>
          </c:val>
          <c:smooth val="0"/>
          <c:extLst>
            <c:ext xmlns:c16="http://schemas.microsoft.com/office/drawing/2014/chart" uri="{C3380CC4-5D6E-409C-BE32-E72D297353CC}">
              <c16:uniqueId val="{00000000-DE2F-4D76-99D4-67D658D13A5A}"/>
            </c:ext>
          </c:extLst>
        </c:ser>
        <c:dLbls>
          <c:showLegendKey val="0"/>
          <c:showVal val="0"/>
          <c:showCatName val="0"/>
          <c:showSerName val="0"/>
          <c:showPercent val="0"/>
          <c:showBubbleSize val="0"/>
        </c:dLbls>
        <c:smooth val="0"/>
        <c:axId val="1289777055"/>
        <c:axId val="1475483711"/>
      </c:lineChart>
      <c:catAx>
        <c:axId val="1289777055"/>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75483711"/>
        <c:crosses val="autoZero"/>
        <c:auto val="1"/>
        <c:lblAlgn val="ctr"/>
        <c:lblOffset val="100"/>
        <c:noMultiLvlLbl val="0"/>
      </c:catAx>
      <c:valAx>
        <c:axId val="1475483711"/>
        <c:scaling>
          <c:orientation val="minMax"/>
        </c:scaling>
        <c:delete val="0"/>
        <c:axPos val="l"/>
        <c:numFmt formatCode="0%" sourceLinked="1"/>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289777055"/>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5400" cap="rnd">
              <a:solidFill>
                <a:srgbClr val="263238"/>
              </a:solidFill>
              <a:prstDash val="solid"/>
              <a:round/>
            </a:ln>
            <a:effectLst/>
          </c:spPr>
          <c:marker>
            <c:symbol val="none"/>
          </c:marker>
          <c:cat>
            <c:strRef>
              <c:f>bcb!$C$3:$C$38</c:f>
              <c:strCache>
                <c:ptCount val="36"/>
                <c:pt idx="0">
                  <c:v>dez-2020</c:v>
                </c:pt>
                <c:pt idx="1">
                  <c:v>jan-2021</c:v>
                </c:pt>
                <c:pt idx="2">
                  <c:v>fev-2021</c:v>
                </c:pt>
                <c:pt idx="3">
                  <c:v>mar-2021</c:v>
                </c:pt>
                <c:pt idx="4">
                  <c:v>abr-2021</c:v>
                </c:pt>
                <c:pt idx="5">
                  <c:v>mai-2021</c:v>
                </c:pt>
                <c:pt idx="6">
                  <c:v>jun-2021</c:v>
                </c:pt>
                <c:pt idx="7">
                  <c:v>jul-2021</c:v>
                </c:pt>
                <c:pt idx="8">
                  <c:v>ago-2021</c:v>
                </c:pt>
                <c:pt idx="9">
                  <c:v>set-2021</c:v>
                </c:pt>
                <c:pt idx="10">
                  <c:v>out-2021</c:v>
                </c:pt>
                <c:pt idx="11">
                  <c:v>nov-2021</c:v>
                </c:pt>
                <c:pt idx="12">
                  <c:v>dez-2021</c:v>
                </c:pt>
                <c:pt idx="13">
                  <c:v>jan-2022</c:v>
                </c:pt>
                <c:pt idx="14">
                  <c:v>fev-2022</c:v>
                </c:pt>
                <c:pt idx="15">
                  <c:v>mar-2022</c:v>
                </c:pt>
                <c:pt idx="16">
                  <c:v>abr-2022</c:v>
                </c:pt>
                <c:pt idx="17">
                  <c:v>mai-2022</c:v>
                </c:pt>
                <c:pt idx="18">
                  <c:v>jun-2022</c:v>
                </c:pt>
                <c:pt idx="19">
                  <c:v>jul-2022</c:v>
                </c:pt>
                <c:pt idx="20">
                  <c:v>ago-2022</c:v>
                </c:pt>
                <c:pt idx="21">
                  <c:v>set-2022</c:v>
                </c:pt>
                <c:pt idx="22">
                  <c:v>out-2022</c:v>
                </c:pt>
                <c:pt idx="23">
                  <c:v>nov-2022</c:v>
                </c:pt>
                <c:pt idx="24">
                  <c:v>dez-2022</c:v>
                </c:pt>
                <c:pt idx="25">
                  <c:v>jan-2023</c:v>
                </c:pt>
                <c:pt idx="26">
                  <c:v>fev-2023</c:v>
                </c:pt>
                <c:pt idx="27">
                  <c:v>mar-2023</c:v>
                </c:pt>
                <c:pt idx="28">
                  <c:v>abr-2023</c:v>
                </c:pt>
                <c:pt idx="29">
                  <c:v>mai-2023</c:v>
                </c:pt>
                <c:pt idx="30">
                  <c:v>jun-2023</c:v>
                </c:pt>
                <c:pt idx="31">
                  <c:v>jul-2023</c:v>
                </c:pt>
                <c:pt idx="32">
                  <c:v>ago-2023</c:v>
                </c:pt>
                <c:pt idx="33">
                  <c:v>set-2023</c:v>
                </c:pt>
                <c:pt idx="34">
                  <c:v>out-2023</c:v>
                </c:pt>
                <c:pt idx="35">
                  <c:v>nov-2023</c:v>
                </c:pt>
              </c:strCache>
            </c:strRef>
          </c:cat>
          <c:val>
            <c:numRef>
              <c:f>bcb!$AE$3:$AE$38</c:f>
              <c:numCache>
                <c:formatCode>General</c:formatCode>
                <c:ptCount val="36"/>
                <c:pt idx="0">
                  <c:v>4.2</c:v>
                </c:pt>
                <c:pt idx="1">
                  <c:v>4.0999999999999996</c:v>
                </c:pt>
                <c:pt idx="2">
                  <c:v>4.0999999999999996</c:v>
                </c:pt>
                <c:pt idx="3">
                  <c:v>4</c:v>
                </c:pt>
                <c:pt idx="4">
                  <c:v>4</c:v>
                </c:pt>
                <c:pt idx="5">
                  <c:v>4.0999999999999996</c:v>
                </c:pt>
                <c:pt idx="6">
                  <c:v>4</c:v>
                </c:pt>
                <c:pt idx="7">
                  <c:v>4.0999999999999996</c:v>
                </c:pt>
                <c:pt idx="8">
                  <c:v>4.0999999999999996</c:v>
                </c:pt>
                <c:pt idx="9">
                  <c:v>4.2</c:v>
                </c:pt>
                <c:pt idx="10">
                  <c:v>4.2</c:v>
                </c:pt>
                <c:pt idx="11">
                  <c:v>4.3</c:v>
                </c:pt>
                <c:pt idx="12">
                  <c:v>4.4000000000000004</c:v>
                </c:pt>
                <c:pt idx="13">
                  <c:v>4.5999999999999996</c:v>
                </c:pt>
                <c:pt idx="14">
                  <c:v>4.7</c:v>
                </c:pt>
                <c:pt idx="15">
                  <c:v>4.9000000000000004</c:v>
                </c:pt>
                <c:pt idx="16">
                  <c:v>5</c:v>
                </c:pt>
                <c:pt idx="17">
                  <c:v>5.3</c:v>
                </c:pt>
                <c:pt idx="18">
                  <c:v>5.2</c:v>
                </c:pt>
                <c:pt idx="19">
                  <c:v>5.5</c:v>
                </c:pt>
                <c:pt idx="20">
                  <c:v>5.6</c:v>
                </c:pt>
                <c:pt idx="21">
                  <c:v>5.7</c:v>
                </c:pt>
                <c:pt idx="22">
                  <c:v>5.8</c:v>
                </c:pt>
                <c:pt idx="23">
                  <c:v>5.8</c:v>
                </c:pt>
                <c:pt idx="24">
                  <c:v>5.9</c:v>
                </c:pt>
                <c:pt idx="25">
                  <c:v>6.1</c:v>
                </c:pt>
                <c:pt idx="26">
                  <c:v>6.1</c:v>
                </c:pt>
                <c:pt idx="27">
                  <c:v>6</c:v>
                </c:pt>
                <c:pt idx="28">
                  <c:v>6.2</c:v>
                </c:pt>
                <c:pt idx="29">
                  <c:v>6.3</c:v>
                </c:pt>
                <c:pt idx="30">
                  <c:v>6.3</c:v>
                </c:pt>
                <c:pt idx="31">
                  <c:v>6.2</c:v>
                </c:pt>
                <c:pt idx="32">
                  <c:v>6.1</c:v>
                </c:pt>
                <c:pt idx="33">
                  <c:v>5.9</c:v>
                </c:pt>
                <c:pt idx="34">
                  <c:v>5.9</c:v>
                </c:pt>
                <c:pt idx="35">
                  <c:v>5.7</c:v>
                </c:pt>
              </c:numCache>
            </c:numRef>
          </c:val>
          <c:smooth val="0"/>
          <c:extLst>
            <c:ext xmlns:c16="http://schemas.microsoft.com/office/drawing/2014/chart" uri="{C3380CC4-5D6E-409C-BE32-E72D297353CC}">
              <c16:uniqueId val="{00000000-8C38-4533-BCD9-370F70B940D3}"/>
            </c:ext>
          </c:extLst>
        </c:ser>
        <c:dLbls>
          <c:showLegendKey val="0"/>
          <c:showVal val="0"/>
          <c:showCatName val="0"/>
          <c:showSerName val="0"/>
          <c:showPercent val="0"/>
          <c:showBubbleSize val="0"/>
        </c:dLbls>
        <c:smooth val="0"/>
        <c:axId val="107599087"/>
        <c:axId val="140584287"/>
      </c:lineChart>
      <c:catAx>
        <c:axId val="107599087"/>
        <c:scaling>
          <c:orientation val="minMax"/>
        </c:scaling>
        <c:delete val="0"/>
        <c:axPos val="b"/>
        <c:numFmt formatCode="General" sourceLinked="1"/>
        <c:majorTickMark val="out"/>
        <c:minorTickMark val="none"/>
        <c:tickLblPos val="nextTo"/>
        <c:spPr>
          <a:noFill/>
          <a:ln w="9525" cap="flat" cmpd="sng" algn="ctr">
            <a:solidFill>
              <a:srgbClr val="B3B3B3"/>
            </a:solidFill>
            <a:round/>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40584287"/>
        <c:crosses val="autoZero"/>
        <c:auto val="1"/>
        <c:lblAlgn val="ctr"/>
        <c:lblOffset val="100"/>
        <c:noMultiLvlLbl val="0"/>
      </c:catAx>
      <c:valAx>
        <c:axId val="140584287"/>
        <c:scaling>
          <c:orientation val="minMax"/>
        </c:scaling>
        <c:delete val="0"/>
        <c:axPos val="l"/>
        <c:numFmt formatCode="#,##0.0" sourceLinked="0"/>
        <c:majorTickMark val="out"/>
        <c:minorTickMark val="none"/>
        <c:tickLblPos val="nextTo"/>
        <c:spPr>
          <a:noFill/>
          <a:ln>
            <a:solidFill>
              <a:srgbClr val="B3B3B3"/>
            </a:solidFill>
          </a:ln>
          <a:effectLst/>
        </c:spPr>
        <c:txPr>
          <a:bodyPr rot="-60000000" spcFirstLastPara="1" vertOverflow="ellipsis" vert="horz" wrap="square" anchor="ctr" anchorCtr="1"/>
          <a:lstStyle/>
          <a:p>
            <a:pPr>
              <a:defRPr sz="1000" b="0" i="0" u="none" strike="noStrike" kern="1200" baseline="0">
                <a:solidFill>
                  <a:srgbClr val="595959"/>
                </a:solidFill>
                <a:latin typeface="Helvetica Neue"/>
                <a:ea typeface="Helvetica Neue"/>
                <a:cs typeface="Helvetica Neue"/>
              </a:defRPr>
            </a:pPr>
            <a:endParaRPr lang="en-US"/>
          </a:p>
        </c:txPr>
        <c:crossAx val="107599087"/>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solidFill>
            <a:srgbClr val="595959"/>
          </a:solidFill>
          <a:latin typeface="Helvetica Neue"/>
          <a:ea typeface="Helvetica Neue"/>
          <a:cs typeface="Helvetica Neue"/>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Analysis!$B$114</c:f>
              <c:strCache>
                <c:ptCount val="1"/>
                <c:pt idx="0">
                  <c:v>Nubank</c:v>
                </c:pt>
              </c:strCache>
            </c:strRef>
          </c:tx>
          <c:spPr>
            <a:ln w="25400" cap="rnd">
              <a:solidFill>
                <a:srgbClr val="333399"/>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Analysis!$C$113:$F$113</c:f>
              <c:strCache>
                <c:ptCount val="4"/>
                <c:pt idx="0">
                  <c:v>2018</c:v>
                </c:pt>
                <c:pt idx="1">
                  <c:v>2019</c:v>
                </c:pt>
                <c:pt idx="2">
                  <c:v>2020</c:v>
                </c:pt>
                <c:pt idx="3">
                  <c:v>3Q21</c:v>
                </c:pt>
              </c:strCache>
            </c:strRef>
          </c:cat>
          <c:val>
            <c:numRef>
              <c:f>Analysis!$C$114:$F$114</c:f>
              <c:numCache>
                <c:formatCode>#,##0.0</c:formatCode>
                <c:ptCount val="4"/>
                <c:pt idx="0">
                  <c:v>5.0999999999999996</c:v>
                </c:pt>
                <c:pt idx="1">
                  <c:v>12.1</c:v>
                </c:pt>
                <c:pt idx="2">
                  <c:v>21.8</c:v>
                </c:pt>
                <c:pt idx="3">
                  <c:v>35.299999999999997</c:v>
                </c:pt>
              </c:numCache>
            </c:numRef>
          </c:val>
          <c:smooth val="0"/>
          <c:extLst>
            <c:ext xmlns:c16="http://schemas.microsoft.com/office/drawing/2014/chart" uri="{C3380CC4-5D6E-409C-BE32-E72D297353CC}">
              <c16:uniqueId val="{00000000-4069-4B41-B235-6A4ED567D02F}"/>
            </c:ext>
          </c:extLst>
        </c:ser>
        <c:ser>
          <c:idx val="1"/>
          <c:order val="1"/>
          <c:tx>
            <c:strRef>
              <c:f>Analysis!$B$115</c:f>
              <c:strCache>
                <c:ptCount val="1"/>
                <c:pt idx="0">
                  <c:v>Tinkoff</c:v>
                </c:pt>
              </c:strCache>
            </c:strRef>
          </c:tx>
          <c:spPr>
            <a:ln w="25400" cap="rnd">
              <a:solidFill>
                <a:srgbClr val="99CCFF"/>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a:ea typeface="Trebuchet MS"/>
                    <a:cs typeface="Trebuchet MS"/>
                  </a:defRPr>
                </a:pPr>
                <a:endParaRPr lang="en-US"/>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Analysis!$C$113:$F$113</c:f>
              <c:strCache>
                <c:ptCount val="4"/>
                <c:pt idx="0">
                  <c:v>2018</c:v>
                </c:pt>
                <c:pt idx="1">
                  <c:v>2019</c:v>
                </c:pt>
                <c:pt idx="2">
                  <c:v>2020</c:v>
                </c:pt>
                <c:pt idx="3">
                  <c:v>3Q21</c:v>
                </c:pt>
              </c:strCache>
            </c:strRef>
          </c:cat>
          <c:val>
            <c:numRef>
              <c:f>Analysis!$C$115:$F$115</c:f>
              <c:numCache>
                <c:formatCode>General</c:formatCode>
                <c:ptCount val="4"/>
                <c:pt idx="0">
                  <c:v>5.2</c:v>
                </c:pt>
                <c:pt idx="1">
                  <c:v>7.2</c:v>
                </c:pt>
                <c:pt idx="2">
                  <c:v>9.1</c:v>
                </c:pt>
                <c:pt idx="3">
                  <c:v>12.8</c:v>
                </c:pt>
              </c:numCache>
            </c:numRef>
          </c:val>
          <c:smooth val="0"/>
          <c:extLst>
            <c:ext xmlns:c16="http://schemas.microsoft.com/office/drawing/2014/chart" uri="{C3380CC4-5D6E-409C-BE32-E72D297353CC}">
              <c16:uniqueId val="{00000001-4069-4B41-B235-6A4ED567D02F}"/>
            </c:ext>
          </c:extLst>
        </c:ser>
        <c:dLbls>
          <c:showLegendKey val="0"/>
          <c:showVal val="0"/>
          <c:showCatName val="0"/>
          <c:showSerName val="0"/>
          <c:showPercent val="0"/>
          <c:showBubbleSize val="0"/>
        </c:dLbls>
        <c:smooth val="0"/>
        <c:axId val="515851823"/>
        <c:axId val="515839759"/>
      </c:lineChart>
      <c:catAx>
        <c:axId val="5158518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15839759"/>
        <c:crosses val="autoZero"/>
        <c:auto val="1"/>
        <c:lblAlgn val="ctr"/>
        <c:lblOffset val="100"/>
        <c:noMultiLvlLbl val="0"/>
      </c:catAx>
      <c:valAx>
        <c:axId val="515839759"/>
        <c:scaling>
          <c:orientation val="minMax"/>
        </c:scaling>
        <c:delete val="0"/>
        <c:axPos val="l"/>
        <c:majorGridlines>
          <c:spPr>
            <a:ln w="3175" cap="flat" cmpd="sng" algn="ctr">
              <a:solidFill>
                <a:srgbClr val="C0C0C0"/>
              </a:solidFill>
              <a:prstDash val="solid"/>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crossAx val="515851823"/>
        <c:crosses val="autoZero"/>
        <c:crossBetween val="between"/>
      </c:valAx>
      <c:spPr>
        <a:noFill/>
        <a:ln w="25400">
          <a:noFill/>
        </a:ln>
        <a:effectLst/>
      </c:spPr>
    </c:plotArea>
    <c:legend>
      <c:legendPos val="b"/>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Trebuchet MS"/>
              <a:ea typeface="Trebuchet MS"/>
              <a:cs typeface="Trebuchet M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noFill/>
      <a:round/>
    </a:ln>
    <a:effectLst/>
  </c:spPr>
  <c:txPr>
    <a:bodyPr/>
    <a:lstStyle/>
    <a:p>
      <a:pPr>
        <a:defRPr sz="1000" b="0" i="0" u="none" strike="noStrike" baseline="0">
          <a:latin typeface="Trebuchet MS"/>
          <a:ea typeface="Trebuchet MS"/>
          <a:cs typeface="Trebuchet MS"/>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Master!A1"/><Relationship Id="rId2" Type="http://schemas.openxmlformats.org/officeDocument/2006/relationships/image" Target="../media/image1.png"/><Relationship Id="rId1" Type="http://schemas.openxmlformats.org/officeDocument/2006/relationships/hyperlink" Target="http://www.newstreetresearch.com/" TargetMode="External"/><Relationship Id="rId5" Type="http://schemas.openxmlformats.org/officeDocument/2006/relationships/hyperlink" Target="#Valuation!A1"/><Relationship Id="rId4" Type="http://schemas.openxmlformats.org/officeDocument/2006/relationships/hyperlink" Target="#Quarts!A1"/></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7" Type="http://schemas.openxmlformats.org/officeDocument/2006/relationships/chart" Target="../charts/chart7.xml"/><Relationship Id="rId2" Type="http://schemas.openxmlformats.org/officeDocument/2006/relationships/chart" Target="../charts/chart3.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4" Type="http://schemas.openxmlformats.org/officeDocument/2006/relationships/chart" Target="../charts/chart5.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3" Type="http://schemas.openxmlformats.org/officeDocument/2006/relationships/chart" Target="../charts/chart4.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0" Type="http://schemas.openxmlformats.org/officeDocument/2006/relationships/chart" Target="../charts/chart20.xml"/><Relationship Id="rId41" Type="http://schemas.openxmlformats.org/officeDocument/2006/relationships/chart" Target="../charts/chart41.xml"/><Relationship Id="rId1" Type="http://schemas.openxmlformats.org/officeDocument/2006/relationships/chart" Target="../charts/chart2.xml"/><Relationship Id="rId6"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chart" Target="../charts/chart58.xml"/><Relationship Id="rId13" Type="http://schemas.openxmlformats.org/officeDocument/2006/relationships/chart" Target="../charts/chart63.xml"/><Relationship Id="rId18" Type="http://schemas.openxmlformats.org/officeDocument/2006/relationships/chart" Target="../charts/chart68.xml"/><Relationship Id="rId3" Type="http://schemas.openxmlformats.org/officeDocument/2006/relationships/chart" Target="../charts/chart53.xml"/><Relationship Id="rId21" Type="http://schemas.openxmlformats.org/officeDocument/2006/relationships/chart" Target="../charts/chart71.xml"/><Relationship Id="rId7" Type="http://schemas.openxmlformats.org/officeDocument/2006/relationships/chart" Target="../charts/chart57.xml"/><Relationship Id="rId12" Type="http://schemas.openxmlformats.org/officeDocument/2006/relationships/chart" Target="../charts/chart62.xml"/><Relationship Id="rId17" Type="http://schemas.openxmlformats.org/officeDocument/2006/relationships/chart" Target="../charts/chart67.xml"/><Relationship Id="rId2" Type="http://schemas.openxmlformats.org/officeDocument/2006/relationships/chart" Target="../charts/chart52.xml"/><Relationship Id="rId16" Type="http://schemas.openxmlformats.org/officeDocument/2006/relationships/chart" Target="../charts/chart66.xml"/><Relationship Id="rId20" Type="http://schemas.openxmlformats.org/officeDocument/2006/relationships/chart" Target="../charts/chart70.xml"/><Relationship Id="rId1" Type="http://schemas.openxmlformats.org/officeDocument/2006/relationships/chart" Target="../charts/chart51.xml"/><Relationship Id="rId6" Type="http://schemas.openxmlformats.org/officeDocument/2006/relationships/chart" Target="../charts/chart56.xml"/><Relationship Id="rId11" Type="http://schemas.openxmlformats.org/officeDocument/2006/relationships/chart" Target="../charts/chart61.xml"/><Relationship Id="rId5" Type="http://schemas.openxmlformats.org/officeDocument/2006/relationships/chart" Target="../charts/chart55.xml"/><Relationship Id="rId15" Type="http://schemas.openxmlformats.org/officeDocument/2006/relationships/chart" Target="../charts/chart65.xml"/><Relationship Id="rId10" Type="http://schemas.openxmlformats.org/officeDocument/2006/relationships/chart" Target="../charts/chart60.xml"/><Relationship Id="rId19" Type="http://schemas.openxmlformats.org/officeDocument/2006/relationships/chart" Target="../charts/chart69.xml"/><Relationship Id="rId4" Type="http://schemas.openxmlformats.org/officeDocument/2006/relationships/chart" Target="../charts/chart54.xml"/><Relationship Id="rId9" Type="http://schemas.openxmlformats.org/officeDocument/2006/relationships/chart" Target="../charts/chart59.xml"/><Relationship Id="rId14" Type="http://schemas.openxmlformats.org/officeDocument/2006/relationships/chart" Target="../charts/chart64.xml"/><Relationship Id="rId22" Type="http://schemas.openxmlformats.org/officeDocument/2006/relationships/chart" Target="../charts/chart7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5.xml"/><Relationship Id="rId7" Type="http://schemas.openxmlformats.org/officeDocument/2006/relationships/chart" Target="../charts/chart79.xml"/><Relationship Id="rId2" Type="http://schemas.openxmlformats.org/officeDocument/2006/relationships/chart" Target="../charts/chart74.xml"/><Relationship Id="rId1" Type="http://schemas.openxmlformats.org/officeDocument/2006/relationships/chart" Target="../charts/chart73.xml"/><Relationship Id="rId6" Type="http://schemas.openxmlformats.org/officeDocument/2006/relationships/chart" Target="../charts/chart78.xml"/><Relationship Id="rId5" Type="http://schemas.openxmlformats.org/officeDocument/2006/relationships/chart" Target="../charts/chart77.xml"/><Relationship Id="rId4" Type="http://schemas.openxmlformats.org/officeDocument/2006/relationships/chart" Target="../charts/chart76.xml"/></Relationships>
</file>

<file path=xl/drawings/_rels/drawing6.xml.rels><?xml version="1.0" encoding="UTF-8" standalone="yes"?>
<Relationships xmlns="http://schemas.openxmlformats.org/package/2006/relationships"><Relationship Id="rId3" Type="http://schemas.openxmlformats.org/officeDocument/2006/relationships/chart" Target="../charts/chart82.xml"/><Relationship Id="rId2" Type="http://schemas.openxmlformats.org/officeDocument/2006/relationships/chart" Target="../charts/chart81.xml"/><Relationship Id="rId1" Type="http://schemas.openxmlformats.org/officeDocument/2006/relationships/chart" Target="../charts/chart80.xml"/></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103533</xdr:colOff>
      <xdr:row>0</xdr:row>
      <xdr:rowOff>0</xdr:rowOff>
    </xdr:from>
    <xdr:to>
      <xdr:col>3</xdr:col>
      <xdr:colOff>559491</xdr:colOff>
      <xdr:row>4</xdr:row>
      <xdr:rowOff>140804</xdr:rowOff>
    </xdr:to>
    <xdr:pic>
      <xdr:nvPicPr>
        <xdr:cNvPr id="4" name="Picture 3" descr="signature_534858453">
          <a:hlinkClick xmlns:r="http://schemas.openxmlformats.org/officeDocument/2006/relationships" r:id="rId1"/>
          <a:extLst>
            <a:ext uri="{FF2B5EF4-FFF2-40B4-BE49-F238E27FC236}">
              <a16:creationId xmlns:a16="http://schemas.microsoft.com/office/drawing/2014/main" id="{B1FEB49E-6171-4181-ADD0-AE3AFFD880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3533" y="0"/>
          <a:ext cx="3211830" cy="763905"/>
        </a:xfrm>
        <a:prstGeom prst="rect">
          <a:avLst/>
        </a:prstGeom>
        <a:noFill/>
        <a:ln>
          <a:noFill/>
        </a:ln>
      </xdr:spPr>
    </xdr:pic>
    <xdr:clientData/>
  </xdr:twoCellAnchor>
  <xdr:twoCellAnchor>
    <xdr:from>
      <xdr:col>0</xdr:col>
      <xdr:colOff>1004266</xdr:colOff>
      <xdr:row>29</xdr:row>
      <xdr:rowOff>28575</xdr:rowOff>
    </xdr:from>
    <xdr:to>
      <xdr:col>2</xdr:col>
      <xdr:colOff>424649</xdr:colOff>
      <xdr:row>32</xdr:row>
      <xdr:rowOff>94173</xdr:rowOff>
    </xdr:to>
    <xdr:sp macro="" textlink="">
      <xdr:nvSpPr>
        <xdr:cNvPr id="2" name="Rectangle 1">
          <a:hlinkClick xmlns:r="http://schemas.openxmlformats.org/officeDocument/2006/relationships" r:id="rId3"/>
          <a:extLst>
            <a:ext uri="{FF2B5EF4-FFF2-40B4-BE49-F238E27FC236}">
              <a16:creationId xmlns:a16="http://schemas.microsoft.com/office/drawing/2014/main" id="{614159E8-677B-4035-8563-A2CE1C82F98C}"/>
            </a:ext>
          </a:extLst>
        </xdr:cNvPr>
        <xdr:cNvSpPr/>
      </xdr:nvSpPr>
      <xdr:spPr>
        <a:xfrm>
          <a:off x="1004266" y="4842841"/>
          <a:ext cx="1522095" cy="531495"/>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Main model</a:t>
          </a:r>
        </a:p>
      </xdr:txBody>
    </xdr:sp>
    <xdr:clientData/>
  </xdr:twoCellAnchor>
  <xdr:twoCellAnchor>
    <xdr:from>
      <xdr:col>3</xdr:col>
      <xdr:colOff>199114</xdr:colOff>
      <xdr:row>29</xdr:row>
      <xdr:rowOff>9525</xdr:rowOff>
    </xdr:from>
    <xdr:to>
      <xdr:col>5</xdr:col>
      <xdr:colOff>386218</xdr:colOff>
      <xdr:row>32</xdr:row>
      <xdr:rowOff>75123</xdr:rowOff>
    </xdr:to>
    <xdr:sp macro="" textlink="">
      <xdr:nvSpPr>
        <xdr:cNvPr id="3" name="Rectangle 2">
          <a:hlinkClick xmlns:r="http://schemas.openxmlformats.org/officeDocument/2006/relationships" r:id="rId4"/>
          <a:extLst>
            <a:ext uri="{FF2B5EF4-FFF2-40B4-BE49-F238E27FC236}">
              <a16:creationId xmlns:a16="http://schemas.microsoft.com/office/drawing/2014/main" id="{BCB16C9E-5D85-496B-AF1D-856437AEB952}"/>
            </a:ext>
          </a:extLst>
        </xdr:cNvPr>
        <xdr:cNvSpPr/>
      </xdr:nvSpPr>
      <xdr:spPr>
        <a:xfrm>
          <a:off x="2953081" y="4823791"/>
          <a:ext cx="1491615" cy="531495"/>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Interims</a:t>
          </a:r>
        </a:p>
      </xdr:txBody>
    </xdr:sp>
    <xdr:clientData/>
  </xdr:twoCellAnchor>
  <xdr:twoCellAnchor>
    <xdr:from>
      <xdr:col>6</xdr:col>
      <xdr:colOff>305462</xdr:colOff>
      <xdr:row>29</xdr:row>
      <xdr:rowOff>0</xdr:rowOff>
    </xdr:from>
    <xdr:to>
      <xdr:col>8</xdr:col>
      <xdr:colOff>490661</xdr:colOff>
      <xdr:row>32</xdr:row>
      <xdr:rowOff>65598</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D5FBEB51-0F28-4C24-B0FF-A500FE6C894D}"/>
            </a:ext>
          </a:extLst>
        </xdr:cNvPr>
        <xdr:cNvSpPr/>
      </xdr:nvSpPr>
      <xdr:spPr>
        <a:xfrm>
          <a:off x="5016196" y="4814266"/>
          <a:ext cx="1489710" cy="531495"/>
        </a:xfrm>
        <a:prstGeom prst="rect">
          <a:avLst/>
        </a:prstGeom>
        <a:ln>
          <a:solidFill>
            <a:schemeClr val="accent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GB" sz="1100"/>
            <a:t>Valuation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264583</xdr:colOff>
      <xdr:row>90</xdr:row>
      <xdr:rowOff>137584</xdr:rowOff>
    </xdr:from>
    <xdr:to>
      <xdr:col>23</xdr:col>
      <xdr:colOff>206375</xdr:colOff>
      <xdr:row>105</xdr:row>
      <xdr:rowOff>167747</xdr:rowOff>
    </xdr:to>
    <xdr:graphicFrame macro="">
      <xdr:nvGraphicFramePr>
        <xdr:cNvPr id="3" name="Chart 2">
          <a:extLst>
            <a:ext uri="{FF2B5EF4-FFF2-40B4-BE49-F238E27FC236}">
              <a16:creationId xmlns:a16="http://schemas.microsoft.com/office/drawing/2014/main" id="{DB6347E7-F45A-AB64-9921-B07B143C901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410765</xdr:colOff>
      <xdr:row>24</xdr:row>
      <xdr:rowOff>7144</xdr:rowOff>
    </xdr:from>
    <xdr:to>
      <xdr:col>16</xdr:col>
      <xdr:colOff>319088</xdr:colOff>
      <xdr:row>41</xdr:row>
      <xdr:rowOff>161925</xdr:rowOff>
    </xdr:to>
    <xdr:graphicFrame macro="">
      <xdr:nvGraphicFramePr>
        <xdr:cNvPr id="2" name="Chart 1">
          <a:extLst>
            <a:ext uri="{FF2B5EF4-FFF2-40B4-BE49-F238E27FC236}">
              <a16:creationId xmlns:a16="http://schemas.microsoft.com/office/drawing/2014/main" id="{5BE701C2-24C3-40D7-A576-1E9C095A01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595312</xdr:colOff>
      <xdr:row>23</xdr:row>
      <xdr:rowOff>142875</xdr:rowOff>
    </xdr:from>
    <xdr:to>
      <xdr:col>24</xdr:col>
      <xdr:colOff>571500</xdr:colOff>
      <xdr:row>41</xdr:row>
      <xdr:rowOff>107155</xdr:rowOff>
    </xdr:to>
    <xdr:graphicFrame macro="">
      <xdr:nvGraphicFramePr>
        <xdr:cNvPr id="3" name="Chart 2">
          <a:extLst>
            <a:ext uri="{FF2B5EF4-FFF2-40B4-BE49-F238E27FC236}">
              <a16:creationId xmlns:a16="http://schemas.microsoft.com/office/drawing/2014/main" id="{9853BC54-2032-4CBF-A06A-43D9F65C97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360519</xdr:colOff>
      <xdr:row>24</xdr:row>
      <xdr:rowOff>85725</xdr:rowOff>
    </xdr:from>
    <xdr:to>
      <xdr:col>10</xdr:col>
      <xdr:colOff>290512</xdr:colOff>
      <xdr:row>37</xdr:row>
      <xdr:rowOff>195263</xdr:rowOff>
    </xdr:to>
    <xdr:graphicFrame macro="">
      <xdr:nvGraphicFramePr>
        <xdr:cNvPr id="4" name="Chart 3">
          <a:extLst>
            <a:ext uri="{FF2B5EF4-FFF2-40B4-BE49-F238E27FC236}">
              <a16:creationId xmlns:a16="http://schemas.microsoft.com/office/drawing/2014/main" id="{4C8F4D18-62A1-457E-8486-75F20597CA2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213360</xdr:colOff>
      <xdr:row>43</xdr:row>
      <xdr:rowOff>190500</xdr:rowOff>
    </xdr:from>
    <xdr:to>
      <xdr:col>11</xdr:col>
      <xdr:colOff>440055</xdr:colOff>
      <xdr:row>57</xdr:row>
      <xdr:rowOff>137160</xdr:rowOff>
    </xdr:to>
    <xdr:graphicFrame macro="">
      <xdr:nvGraphicFramePr>
        <xdr:cNvPr id="5" name="Chart 4">
          <a:extLst>
            <a:ext uri="{FF2B5EF4-FFF2-40B4-BE49-F238E27FC236}">
              <a16:creationId xmlns:a16="http://schemas.microsoft.com/office/drawing/2014/main" id="{815FCA91-4478-4078-907F-E87F0E0629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458153</xdr:colOff>
      <xdr:row>45</xdr:row>
      <xdr:rowOff>82868</xdr:rowOff>
    </xdr:from>
    <xdr:to>
      <xdr:col>19</xdr:col>
      <xdr:colOff>16193</xdr:colOff>
      <xdr:row>59</xdr:row>
      <xdr:rowOff>33338</xdr:rowOff>
    </xdr:to>
    <xdr:graphicFrame macro="">
      <xdr:nvGraphicFramePr>
        <xdr:cNvPr id="6" name="Chart 5">
          <a:extLst>
            <a:ext uri="{FF2B5EF4-FFF2-40B4-BE49-F238E27FC236}">
              <a16:creationId xmlns:a16="http://schemas.microsoft.com/office/drawing/2014/main" id="{990B428B-14E6-4838-9411-0C8D5B77FA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16</xdr:col>
      <xdr:colOff>79175</xdr:colOff>
      <xdr:row>60</xdr:row>
      <xdr:rowOff>177085</xdr:rowOff>
    </xdr:from>
    <xdr:to>
      <xdr:col>26</xdr:col>
      <xdr:colOff>96390</xdr:colOff>
      <xdr:row>79</xdr:row>
      <xdr:rowOff>146197</xdr:rowOff>
    </xdr:to>
    <xdr:pic>
      <xdr:nvPicPr>
        <xdr:cNvPr id="7" name="Picture 6">
          <a:extLst>
            <a:ext uri="{FF2B5EF4-FFF2-40B4-BE49-F238E27FC236}">
              <a16:creationId xmlns:a16="http://schemas.microsoft.com/office/drawing/2014/main" id="{72428625-25C1-4D55-A639-94F7DE9D800B}"/>
            </a:ext>
          </a:extLst>
        </xdr:cNvPr>
        <xdr:cNvPicPr>
          <a:picLocks noChangeAspect="1"/>
        </xdr:cNvPicPr>
      </xdr:nvPicPr>
      <xdr:blipFill>
        <a:blip xmlns:r="http://schemas.openxmlformats.org/officeDocument/2006/relationships" r:embed="rId6"/>
        <a:stretch>
          <a:fillRect/>
        </a:stretch>
      </xdr:blipFill>
      <xdr:spPr>
        <a:xfrm>
          <a:off x="11745288" y="11971986"/>
          <a:ext cx="6413429" cy="3738374"/>
        </a:xfrm>
        <a:prstGeom prst="rect">
          <a:avLst/>
        </a:prstGeom>
      </xdr:spPr>
    </xdr:pic>
    <xdr:clientData/>
  </xdr:twoCellAnchor>
  <xdr:twoCellAnchor>
    <xdr:from>
      <xdr:col>5</xdr:col>
      <xdr:colOff>56345</xdr:colOff>
      <xdr:row>78</xdr:row>
      <xdr:rowOff>61174</xdr:rowOff>
    </xdr:from>
    <xdr:to>
      <xdr:col>13</xdr:col>
      <xdr:colOff>134154</xdr:colOff>
      <xdr:row>93</xdr:row>
      <xdr:rowOff>198548</xdr:rowOff>
    </xdr:to>
    <xdr:graphicFrame macro="">
      <xdr:nvGraphicFramePr>
        <xdr:cNvPr id="8" name="Chart 7">
          <a:extLst>
            <a:ext uri="{FF2B5EF4-FFF2-40B4-BE49-F238E27FC236}">
              <a16:creationId xmlns:a16="http://schemas.microsoft.com/office/drawing/2014/main" id="{B289D153-F4B1-4903-9270-7240B40E2EE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511130</xdr:colOff>
      <xdr:row>94</xdr:row>
      <xdr:rowOff>164473</xdr:rowOff>
    </xdr:from>
    <xdr:to>
      <xdr:col>22</xdr:col>
      <xdr:colOff>441369</xdr:colOff>
      <xdr:row>108</xdr:row>
      <xdr:rowOff>90419</xdr:rowOff>
    </xdr:to>
    <xdr:graphicFrame macro="">
      <xdr:nvGraphicFramePr>
        <xdr:cNvPr id="10" name="Chart 9">
          <a:extLst>
            <a:ext uri="{FF2B5EF4-FFF2-40B4-BE49-F238E27FC236}">
              <a16:creationId xmlns:a16="http://schemas.microsoft.com/office/drawing/2014/main" id="{5215E03C-62E2-40DD-9AC6-75374C5356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407831</xdr:colOff>
      <xdr:row>112</xdr:row>
      <xdr:rowOff>84544</xdr:rowOff>
    </xdr:from>
    <xdr:to>
      <xdr:col>14</xdr:col>
      <xdr:colOff>1905</xdr:colOff>
      <xdr:row>126</xdr:row>
      <xdr:rowOff>123181</xdr:rowOff>
    </xdr:to>
    <xdr:graphicFrame macro="">
      <xdr:nvGraphicFramePr>
        <xdr:cNvPr id="11" name="Chart 10">
          <a:extLst>
            <a:ext uri="{FF2B5EF4-FFF2-40B4-BE49-F238E27FC236}">
              <a16:creationId xmlns:a16="http://schemas.microsoft.com/office/drawing/2014/main" id="{15372B8D-E737-4887-975A-684A703BFB3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6</xdr:col>
      <xdr:colOff>429295</xdr:colOff>
      <xdr:row>127</xdr:row>
      <xdr:rowOff>52347</xdr:rowOff>
    </xdr:from>
    <xdr:to>
      <xdr:col>14</xdr:col>
      <xdr:colOff>25274</xdr:colOff>
      <xdr:row>141</xdr:row>
      <xdr:rowOff>90984</xdr:rowOff>
    </xdr:to>
    <xdr:graphicFrame macro="">
      <xdr:nvGraphicFramePr>
        <xdr:cNvPr id="13" name="Chart 12">
          <a:extLst>
            <a:ext uri="{FF2B5EF4-FFF2-40B4-BE49-F238E27FC236}">
              <a16:creationId xmlns:a16="http://schemas.microsoft.com/office/drawing/2014/main" id="{5F4A3254-1AC6-40AE-80ED-EC8C4262592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21464</xdr:colOff>
      <xdr:row>153</xdr:row>
      <xdr:rowOff>16902</xdr:rowOff>
    </xdr:from>
    <xdr:to>
      <xdr:col>12</xdr:col>
      <xdr:colOff>362218</xdr:colOff>
      <xdr:row>170</xdr:row>
      <xdr:rowOff>53663</xdr:rowOff>
    </xdr:to>
    <xdr:graphicFrame macro="">
      <xdr:nvGraphicFramePr>
        <xdr:cNvPr id="17" name="Chart 16">
          <a:extLst>
            <a:ext uri="{FF2B5EF4-FFF2-40B4-BE49-F238E27FC236}">
              <a16:creationId xmlns:a16="http://schemas.microsoft.com/office/drawing/2014/main" id="{7498C18B-58A6-4CBB-8939-4DB4A30967F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10</xdr:col>
      <xdr:colOff>107324</xdr:colOff>
      <xdr:row>204</xdr:row>
      <xdr:rowOff>187816</xdr:rowOff>
    </xdr:from>
    <xdr:to>
      <xdr:col>15</xdr:col>
      <xdr:colOff>1926771</xdr:colOff>
      <xdr:row>220</xdr:row>
      <xdr:rowOff>157498</xdr:rowOff>
    </xdr:to>
    <xdr:graphicFrame macro="">
      <xdr:nvGraphicFramePr>
        <xdr:cNvPr id="18" name="Chart 17">
          <a:extLst>
            <a:ext uri="{FF2B5EF4-FFF2-40B4-BE49-F238E27FC236}">
              <a16:creationId xmlns:a16="http://schemas.microsoft.com/office/drawing/2014/main" id="{94B9CBC5-8DD0-4B60-BD23-DA123B32101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16</xdr:col>
      <xdr:colOff>358002</xdr:colOff>
      <xdr:row>204</xdr:row>
      <xdr:rowOff>115103</xdr:rowOff>
    </xdr:from>
    <xdr:to>
      <xdr:col>23</xdr:col>
      <xdr:colOff>136071</xdr:colOff>
      <xdr:row>219</xdr:row>
      <xdr:rowOff>152399</xdr:rowOff>
    </xdr:to>
    <xdr:graphicFrame macro="">
      <xdr:nvGraphicFramePr>
        <xdr:cNvPr id="19" name="Chart 18">
          <a:extLst>
            <a:ext uri="{FF2B5EF4-FFF2-40B4-BE49-F238E27FC236}">
              <a16:creationId xmlns:a16="http://schemas.microsoft.com/office/drawing/2014/main" id="{F355B7B8-5B1B-425A-9BC7-8DF628456C3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217330</xdr:colOff>
      <xdr:row>228</xdr:row>
      <xdr:rowOff>2146</xdr:rowOff>
    </xdr:from>
    <xdr:to>
      <xdr:col>15</xdr:col>
      <xdr:colOff>1888901</xdr:colOff>
      <xdr:row>248</xdr:row>
      <xdr:rowOff>5367</xdr:rowOff>
    </xdr:to>
    <xdr:graphicFrame macro="">
      <xdr:nvGraphicFramePr>
        <xdr:cNvPr id="9" name="Chart 8">
          <a:extLst>
            <a:ext uri="{FF2B5EF4-FFF2-40B4-BE49-F238E27FC236}">
              <a16:creationId xmlns:a16="http://schemas.microsoft.com/office/drawing/2014/main" id="{E4AC07CF-A08E-4A74-B431-D134F0B3E1C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13</xdr:col>
      <xdr:colOff>72443</xdr:colOff>
      <xdr:row>251</xdr:row>
      <xdr:rowOff>77273</xdr:rowOff>
    </xdr:from>
    <xdr:to>
      <xdr:col>16</xdr:col>
      <xdr:colOff>112690</xdr:colOff>
      <xdr:row>266</xdr:row>
      <xdr:rowOff>48296</xdr:rowOff>
    </xdr:to>
    <xdr:graphicFrame macro="">
      <xdr:nvGraphicFramePr>
        <xdr:cNvPr id="12" name="Chart 11">
          <a:extLst>
            <a:ext uri="{FF2B5EF4-FFF2-40B4-BE49-F238E27FC236}">
              <a16:creationId xmlns:a16="http://schemas.microsoft.com/office/drawing/2014/main" id="{15A35151-3C24-4246-824E-526C791288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13</xdr:col>
      <xdr:colOff>0</xdr:colOff>
      <xdr:row>273</xdr:row>
      <xdr:rowOff>128788</xdr:rowOff>
    </xdr:from>
    <xdr:to>
      <xdr:col>16</xdr:col>
      <xdr:colOff>40247</xdr:colOff>
      <xdr:row>286</xdr:row>
      <xdr:rowOff>169572</xdr:rowOff>
    </xdr:to>
    <xdr:graphicFrame macro="">
      <xdr:nvGraphicFramePr>
        <xdr:cNvPr id="20" name="Chart 19">
          <a:extLst>
            <a:ext uri="{FF2B5EF4-FFF2-40B4-BE49-F238E27FC236}">
              <a16:creationId xmlns:a16="http://schemas.microsoft.com/office/drawing/2014/main" id="{A5843242-5175-4D08-A53B-B0774F8D0E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2081230</xdr:colOff>
      <xdr:row>300</xdr:row>
      <xdr:rowOff>66939</xdr:rowOff>
    </xdr:from>
    <xdr:to>
      <xdr:col>7</xdr:col>
      <xdr:colOff>299357</xdr:colOff>
      <xdr:row>316</xdr:row>
      <xdr:rowOff>137237</xdr:rowOff>
    </xdr:to>
    <xdr:graphicFrame macro="">
      <xdr:nvGraphicFramePr>
        <xdr:cNvPr id="14" name="Chart 13">
          <a:extLst>
            <a:ext uri="{FF2B5EF4-FFF2-40B4-BE49-F238E27FC236}">
              <a16:creationId xmlns:a16="http://schemas.microsoft.com/office/drawing/2014/main" id="{178F534E-7A45-42A7-B038-9526F9F2D29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443593</xdr:colOff>
      <xdr:row>317</xdr:row>
      <xdr:rowOff>100692</xdr:rowOff>
    </xdr:from>
    <xdr:to>
      <xdr:col>15</xdr:col>
      <xdr:colOff>108857</xdr:colOff>
      <xdr:row>334</xdr:row>
      <xdr:rowOff>125185</xdr:rowOff>
    </xdr:to>
    <xdr:graphicFrame macro="">
      <xdr:nvGraphicFramePr>
        <xdr:cNvPr id="15" name="Chart 14">
          <a:extLst>
            <a:ext uri="{FF2B5EF4-FFF2-40B4-BE49-F238E27FC236}">
              <a16:creationId xmlns:a16="http://schemas.microsoft.com/office/drawing/2014/main" id="{E93AF6AD-6277-4C6A-8D14-8AF9753090D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5</xdr:col>
      <xdr:colOff>160565</xdr:colOff>
      <xdr:row>180</xdr:row>
      <xdr:rowOff>119743</xdr:rowOff>
    </xdr:from>
    <xdr:to>
      <xdr:col>12</xdr:col>
      <xdr:colOff>0</xdr:colOff>
      <xdr:row>196</xdr:row>
      <xdr:rowOff>59871</xdr:rowOff>
    </xdr:to>
    <xdr:graphicFrame macro="">
      <xdr:nvGraphicFramePr>
        <xdr:cNvPr id="16" name="Chart 15">
          <a:extLst>
            <a:ext uri="{FF2B5EF4-FFF2-40B4-BE49-F238E27FC236}">
              <a16:creationId xmlns:a16="http://schemas.microsoft.com/office/drawing/2014/main" id="{2D9CD1FA-A8F0-4B14-9A48-70DD5535A9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6</xdr:col>
      <xdr:colOff>57149</xdr:colOff>
      <xdr:row>486</xdr:row>
      <xdr:rowOff>32656</xdr:rowOff>
    </xdr:from>
    <xdr:to>
      <xdr:col>15</xdr:col>
      <xdr:colOff>495300</xdr:colOff>
      <xdr:row>503</xdr:row>
      <xdr:rowOff>87085</xdr:rowOff>
    </xdr:to>
    <xdr:graphicFrame macro="">
      <xdr:nvGraphicFramePr>
        <xdr:cNvPr id="21" name="Chart 20">
          <a:extLst>
            <a:ext uri="{FF2B5EF4-FFF2-40B4-BE49-F238E27FC236}">
              <a16:creationId xmlns:a16="http://schemas.microsoft.com/office/drawing/2014/main" id="{CB1C53F0-70F6-4CE0-9ECD-64477904C9B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8</xdr:col>
      <xdr:colOff>500062</xdr:colOff>
      <xdr:row>725</xdr:row>
      <xdr:rowOff>63103</xdr:rowOff>
    </xdr:from>
    <xdr:to>
      <xdr:col>17</xdr:col>
      <xdr:colOff>500062</xdr:colOff>
      <xdr:row>738</xdr:row>
      <xdr:rowOff>175022</xdr:rowOff>
    </xdr:to>
    <xdr:graphicFrame macro="">
      <xdr:nvGraphicFramePr>
        <xdr:cNvPr id="22" name="Chart 21">
          <a:extLst>
            <a:ext uri="{FF2B5EF4-FFF2-40B4-BE49-F238E27FC236}">
              <a16:creationId xmlns:a16="http://schemas.microsoft.com/office/drawing/2014/main" id="{4CD1612B-4988-3B43-4DCC-D61787E2D4E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9</xdr:col>
      <xdr:colOff>166689</xdr:colOff>
      <xdr:row>740</xdr:row>
      <xdr:rowOff>122633</xdr:rowOff>
    </xdr:from>
    <xdr:to>
      <xdr:col>20</xdr:col>
      <xdr:colOff>619126</xdr:colOff>
      <xdr:row>763</xdr:row>
      <xdr:rowOff>95249</xdr:rowOff>
    </xdr:to>
    <xdr:graphicFrame macro="">
      <xdr:nvGraphicFramePr>
        <xdr:cNvPr id="23" name="Chart 22">
          <a:extLst>
            <a:ext uri="{FF2B5EF4-FFF2-40B4-BE49-F238E27FC236}">
              <a16:creationId xmlns:a16="http://schemas.microsoft.com/office/drawing/2014/main" id="{06DACB04-F10E-A3E2-6E57-E906E863BFE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0</xdr:colOff>
      <xdr:row>765</xdr:row>
      <xdr:rowOff>0</xdr:rowOff>
    </xdr:from>
    <xdr:to>
      <xdr:col>20</xdr:col>
      <xdr:colOff>452437</xdr:colOff>
      <xdr:row>782</xdr:row>
      <xdr:rowOff>175023</xdr:rowOff>
    </xdr:to>
    <xdr:graphicFrame macro="">
      <xdr:nvGraphicFramePr>
        <xdr:cNvPr id="24" name="Chart 23">
          <a:extLst>
            <a:ext uri="{FF2B5EF4-FFF2-40B4-BE49-F238E27FC236}">
              <a16:creationId xmlns:a16="http://schemas.microsoft.com/office/drawing/2014/main" id="{0AF239C2-3421-4737-A6C5-3D5DF364A2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8</xdr:col>
      <xdr:colOff>502443</xdr:colOff>
      <xdr:row>783</xdr:row>
      <xdr:rowOff>173832</xdr:rowOff>
    </xdr:from>
    <xdr:to>
      <xdr:col>18</xdr:col>
      <xdr:colOff>419099</xdr:colOff>
      <xdr:row>797</xdr:row>
      <xdr:rowOff>183357</xdr:rowOff>
    </xdr:to>
    <xdr:graphicFrame macro="">
      <xdr:nvGraphicFramePr>
        <xdr:cNvPr id="25" name="Chart 24">
          <a:extLst>
            <a:ext uri="{FF2B5EF4-FFF2-40B4-BE49-F238E27FC236}">
              <a16:creationId xmlns:a16="http://schemas.microsoft.com/office/drawing/2014/main" id="{1E2C7748-B8B3-5E30-AA34-0D9C9063B9E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0</xdr:colOff>
      <xdr:row>810</xdr:row>
      <xdr:rowOff>52387</xdr:rowOff>
    </xdr:from>
    <xdr:to>
      <xdr:col>18</xdr:col>
      <xdr:colOff>593271</xdr:colOff>
      <xdr:row>825</xdr:row>
      <xdr:rowOff>166686</xdr:rowOff>
    </xdr:to>
    <xdr:graphicFrame macro="">
      <xdr:nvGraphicFramePr>
        <xdr:cNvPr id="30" name="Chart 29">
          <a:extLst>
            <a:ext uri="{FF2B5EF4-FFF2-40B4-BE49-F238E27FC236}">
              <a16:creationId xmlns:a16="http://schemas.microsoft.com/office/drawing/2014/main" id="{90E31D7E-F600-A551-0D3E-4BE1724518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585106</xdr:colOff>
      <xdr:row>843</xdr:row>
      <xdr:rowOff>163284</xdr:rowOff>
    </xdr:from>
    <xdr:to>
      <xdr:col>10</xdr:col>
      <xdr:colOff>555171</xdr:colOff>
      <xdr:row>859</xdr:row>
      <xdr:rowOff>168729</xdr:rowOff>
    </xdr:to>
    <xdr:graphicFrame macro="">
      <xdr:nvGraphicFramePr>
        <xdr:cNvPr id="27" name="Chart 26">
          <a:extLst>
            <a:ext uri="{FF2B5EF4-FFF2-40B4-BE49-F238E27FC236}">
              <a16:creationId xmlns:a16="http://schemas.microsoft.com/office/drawing/2014/main" id="{8D2C144F-306E-DE9B-8FA8-1097EE571A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0</xdr:colOff>
      <xdr:row>869</xdr:row>
      <xdr:rowOff>0</xdr:rowOff>
    </xdr:from>
    <xdr:to>
      <xdr:col>10</xdr:col>
      <xdr:colOff>601437</xdr:colOff>
      <xdr:row>885</xdr:row>
      <xdr:rowOff>5446</xdr:rowOff>
    </xdr:to>
    <xdr:graphicFrame macro="">
      <xdr:nvGraphicFramePr>
        <xdr:cNvPr id="28" name="Chart 27">
          <a:extLst>
            <a:ext uri="{FF2B5EF4-FFF2-40B4-BE49-F238E27FC236}">
              <a16:creationId xmlns:a16="http://schemas.microsoft.com/office/drawing/2014/main" id="{8837D296-B028-453E-9604-B250E922C0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231321</xdr:colOff>
      <xdr:row>928</xdr:row>
      <xdr:rowOff>146957</xdr:rowOff>
    </xdr:from>
    <xdr:to>
      <xdr:col>13</xdr:col>
      <xdr:colOff>631371</xdr:colOff>
      <xdr:row>945</xdr:row>
      <xdr:rowOff>81643</xdr:rowOff>
    </xdr:to>
    <xdr:graphicFrame macro="">
      <xdr:nvGraphicFramePr>
        <xdr:cNvPr id="26" name="Chart 25">
          <a:extLst>
            <a:ext uri="{FF2B5EF4-FFF2-40B4-BE49-F238E27FC236}">
              <a16:creationId xmlns:a16="http://schemas.microsoft.com/office/drawing/2014/main" id="{981DF469-3F37-FE00-D69A-25158998B46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xdr:col>
      <xdr:colOff>258537</xdr:colOff>
      <xdr:row>963</xdr:row>
      <xdr:rowOff>168729</xdr:rowOff>
    </xdr:from>
    <xdr:to>
      <xdr:col>9</xdr:col>
      <xdr:colOff>220437</xdr:colOff>
      <xdr:row>977</xdr:row>
      <xdr:rowOff>168729</xdr:rowOff>
    </xdr:to>
    <xdr:graphicFrame macro="">
      <xdr:nvGraphicFramePr>
        <xdr:cNvPr id="29" name="Chart 28">
          <a:extLst>
            <a:ext uri="{FF2B5EF4-FFF2-40B4-BE49-F238E27FC236}">
              <a16:creationId xmlns:a16="http://schemas.microsoft.com/office/drawing/2014/main" id="{F7AB6E42-7D2D-6C34-9829-BA62AF079C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964</xdr:row>
      <xdr:rowOff>0</xdr:rowOff>
    </xdr:from>
    <xdr:to>
      <xdr:col>17</xdr:col>
      <xdr:colOff>261258</xdr:colOff>
      <xdr:row>978</xdr:row>
      <xdr:rowOff>0</xdr:rowOff>
    </xdr:to>
    <xdr:graphicFrame macro="">
      <xdr:nvGraphicFramePr>
        <xdr:cNvPr id="31" name="Chart 30">
          <a:extLst>
            <a:ext uri="{FF2B5EF4-FFF2-40B4-BE49-F238E27FC236}">
              <a16:creationId xmlns:a16="http://schemas.microsoft.com/office/drawing/2014/main" id="{C9FD011A-F163-4188-A600-74D34DC810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100693</xdr:colOff>
      <xdr:row>981</xdr:row>
      <xdr:rowOff>76199</xdr:rowOff>
    </xdr:from>
    <xdr:to>
      <xdr:col>12</xdr:col>
      <xdr:colOff>163285</xdr:colOff>
      <xdr:row>997</xdr:row>
      <xdr:rowOff>136070</xdr:rowOff>
    </xdr:to>
    <xdr:graphicFrame macro="">
      <xdr:nvGraphicFramePr>
        <xdr:cNvPr id="32" name="Chart 31">
          <a:extLst>
            <a:ext uri="{FF2B5EF4-FFF2-40B4-BE49-F238E27FC236}">
              <a16:creationId xmlns:a16="http://schemas.microsoft.com/office/drawing/2014/main" id="{55AAA350-7550-708A-697A-374B1B2C27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130628</xdr:colOff>
      <xdr:row>999</xdr:row>
      <xdr:rowOff>108857</xdr:rowOff>
    </xdr:from>
    <xdr:to>
      <xdr:col>11</xdr:col>
      <xdr:colOff>957942</xdr:colOff>
      <xdr:row>1015</xdr:row>
      <xdr:rowOff>87086</xdr:rowOff>
    </xdr:to>
    <xdr:graphicFrame macro="">
      <xdr:nvGraphicFramePr>
        <xdr:cNvPr id="33" name="Chart 32">
          <a:extLst>
            <a:ext uri="{FF2B5EF4-FFF2-40B4-BE49-F238E27FC236}">
              <a16:creationId xmlns:a16="http://schemas.microsoft.com/office/drawing/2014/main" id="{65EFBA3A-DA7F-0729-38CF-3279F93F45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6</xdr:col>
      <xdr:colOff>130628</xdr:colOff>
      <xdr:row>1018</xdr:row>
      <xdr:rowOff>5443</xdr:rowOff>
    </xdr:from>
    <xdr:to>
      <xdr:col>11</xdr:col>
      <xdr:colOff>957942</xdr:colOff>
      <xdr:row>1033</xdr:row>
      <xdr:rowOff>179614</xdr:rowOff>
    </xdr:to>
    <xdr:graphicFrame macro="">
      <xdr:nvGraphicFramePr>
        <xdr:cNvPr id="34" name="Chart 33">
          <a:extLst>
            <a:ext uri="{FF2B5EF4-FFF2-40B4-BE49-F238E27FC236}">
              <a16:creationId xmlns:a16="http://schemas.microsoft.com/office/drawing/2014/main" id="{1D1E3D42-72B8-4A83-8316-478D8DC84B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12</xdr:col>
      <xdr:colOff>574221</xdr:colOff>
      <xdr:row>1032</xdr:row>
      <xdr:rowOff>21771</xdr:rowOff>
    </xdr:from>
    <xdr:to>
      <xdr:col>21</xdr:col>
      <xdr:colOff>141515</xdr:colOff>
      <xdr:row>1053</xdr:row>
      <xdr:rowOff>21772</xdr:rowOff>
    </xdr:to>
    <xdr:graphicFrame macro="">
      <xdr:nvGraphicFramePr>
        <xdr:cNvPr id="35" name="Chart 34">
          <a:extLst>
            <a:ext uri="{FF2B5EF4-FFF2-40B4-BE49-F238E27FC236}">
              <a16:creationId xmlns:a16="http://schemas.microsoft.com/office/drawing/2014/main" id="{D9809F0F-8505-E23D-A5F6-CE20D6E97F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8</xdr:col>
      <xdr:colOff>570864</xdr:colOff>
      <xdr:row>1089</xdr:row>
      <xdr:rowOff>189048</xdr:rowOff>
    </xdr:from>
    <xdr:to>
      <xdr:col>15</xdr:col>
      <xdr:colOff>598713</xdr:colOff>
      <xdr:row>1106</xdr:row>
      <xdr:rowOff>163284</xdr:rowOff>
    </xdr:to>
    <xdr:graphicFrame macro="">
      <xdr:nvGraphicFramePr>
        <xdr:cNvPr id="37" name="Chart 36">
          <a:extLst>
            <a:ext uri="{FF2B5EF4-FFF2-40B4-BE49-F238E27FC236}">
              <a16:creationId xmlns:a16="http://schemas.microsoft.com/office/drawing/2014/main" id="{8FD43EDA-EF8D-A957-A2E6-09D41EBABA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xdr:col>
      <xdr:colOff>2301059</xdr:colOff>
      <xdr:row>1109</xdr:row>
      <xdr:rowOff>49439</xdr:rowOff>
    </xdr:from>
    <xdr:to>
      <xdr:col>6</xdr:col>
      <xdr:colOff>527958</xdr:colOff>
      <xdr:row>1123</xdr:row>
      <xdr:rowOff>157842</xdr:rowOff>
    </xdr:to>
    <xdr:graphicFrame macro="">
      <xdr:nvGraphicFramePr>
        <xdr:cNvPr id="38" name="Chart 37">
          <a:extLst>
            <a:ext uri="{FF2B5EF4-FFF2-40B4-BE49-F238E27FC236}">
              <a16:creationId xmlns:a16="http://schemas.microsoft.com/office/drawing/2014/main" id="{7B83BDC4-E6A0-F73F-D20E-F91B2C958D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585742</xdr:colOff>
      <xdr:row>1135</xdr:row>
      <xdr:rowOff>69488</xdr:rowOff>
    </xdr:from>
    <xdr:to>
      <xdr:col>12</xdr:col>
      <xdr:colOff>386443</xdr:colOff>
      <xdr:row>1150</xdr:row>
      <xdr:rowOff>124370</xdr:rowOff>
    </xdr:to>
    <xdr:graphicFrame macro="">
      <xdr:nvGraphicFramePr>
        <xdr:cNvPr id="39" name="Chart 38">
          <a:extLst>
            <a:ext uri="{FF2B5EF4-FFF2-40B4-BE49-F238E27FC236}">
              <a16:creationId xmlns:a16="http://schemas.microsoft.com/office/drawing/2014/main" id="{769FBAFC-BC89-A7D4-CD41-E28A9360998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7</xdr:col>
      <xdr:colOff>0</xdr:colOff>
      <xdr:row>1153</xdr:row>
      <xdr:rowOff>0</xdr:rowOff>
    </xdr:from>
    <xdr:to>
      <xdr:col>12</xdr:col>
      <xdr:colOff>429170</xdr:colOff>
      <xdr:row>1168</xdr:row>
      <xdr:rowOff>47170</xdr:rowOff>
    </xdr:to>
    <xdr:graphicFrame macro="">
      <xdr:nvGraphicFramePr>
        <xdr:cNvPr id="40" name="Chart 39">
          <a:extLst>
            <a:ext uri="{FF2B5EF4-FFF2-40B4-BE49-F238E27FC236}">
              <a16:creationId xmlns:a16="http://schemas.microsoft.com/office/drawing/2014/main" id="{6B421961-93AC-4706-A862-517159709D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8</xdr:col>
      <xdr:colOff>507456</xdr:colOff>
      <xdr:row>1109</xdr:row>
      <xdr:rowOff>41457</xdr:rowOff>
    </xdr:from>
    <xdr:to>
      <xdr:col>15</xdr:col>
      <xdr:colOff>446314</xdr:colOff>
      <xdr:row>1125</xdr:row>
      <xdr:rowOff>59871</xdr:rowOff>
    </xdr:to>
    <xdr:graphicFrame macro="">
      <xdr:nvGraphicFramePr>
        <xdr:cNvPr id="41" name="Chart 40">
          <a:extLst>
            <a:ext uri="{FF2B5EF4-FFF2-40B4-BE49-F238E27FC236}">
              <a16:creationId xmlns:a16="http://schemas.microsoft.com/office/drawing/2014/main" id="{DEB2F27E-8F52-A49E-AB5F-94EDB8E1B7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15</xdr:col>
      <xdr:colOff>470172</xdr:colOff>
      <xdr:row>945</xdr:row>
      <xdr:rowOff>152218</xdr:rowOff>
    </xdr:from>
    <xdr:to>
      <xdr:col>22</xdr:col>
      <xdr:colOff>620667</xdr:colOff>
      <xdr:row>961</xdr:row>
      <xdr:rowOff>152218</xdr:rowOff>
    </xdr:to>
    <xdr:graphicFrame macro="">
      <xdr:nvGraphicFramePr>
        <xdr:cNvPr id="42" name="Chart 41">
          <a:extLst>
            <a:ext uri="{FF2B5EF4-FFF2-40B4-BE49-F238E27FC236}">
              <a16:creationId xmlns:a16="http://schemas.microsoft.com/office/drawing/2014/main" id="{70B9DEC3-4A5E-9571-808C-007EAA5FE77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471442</xdr:colOff>
      <xdr:row>1170</xdr:row>
      <xdr:rowOff>58422</xdr:rowOff>
    </xdr:from>
    <xdr:to>
      <xdr:col>13</xdr:col>
      <xdr:colOff>440055</xdr:colOff>
      <xdr:row>1192</xdr:row>
      <xdr:rowOff>36042</xdr:rowOff>
    </xdr:to>
    <xdr:graphicFrame macro="">
      <xdr:nvGraphicFramePr>
        <xdr:cNvPr id="44" name="Chart 43">
          <a:extLst>
            <a:ext uri="{FF2B5EF4-FFF2-40B4-BE49-F238E27FC236}">
              <a16:creationId xmlns:a16="http://schemas.microsoft.com/office/drawing/2014/main" id="{6D873AE2-C9B4-4322-B0C4-1E1BBBFDB0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5</xdr:col>
      <xdr:colOff>545102</xdr:colOff>
      <xdr:row>1206</xdr:row>
      <xdr:rowOff>190500</xdr:rowOff>
    </xdr:from>
    <xdr:to>
      <xdr:col>13</xdr:col>
      <xdr:colOff>165191</xdr:colOff>
      <xdr:row>1224</xdr:row>
      <xdr:rowOff>38099</xdr:rowOff>
    </xdr:to>
    <xdr:graphicFrame macro="">
      <xdr:nvGraphicFramePr>
        <xdr:cNvPr id="45" name="Chart 44">
          <a:extLst>
            <a:ext uri="{FF2B5EF4-FFF2-40B4-BE49-F238E27FC236}">
              <a16:creationId xmlns:a16="http://schemas.microsoft.com/office/drawing/2014/main" id="{9ADAAB4A-1B81-6E1E-BA37-F26C9D7ABF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16</xdr:col>
      <xdr:colOff>647902</xdr:colOff>
      <xdr:row>1249</xdr:row>
      <xdr:rowOff>178784</xdr:rowOff>
    </xdr:from>
    <xdr:to>
      <xdr:col>24</xdr:col>
      <xdr:colOff>196144</xdr:colOff>
      <xdr:row>1265</xdr:row>
      <xdr:rowOff>178784</xdr:rowOff>
    </xdr:to>
    <xdr:graphicFrame macro="">
      <xdr:nvGraphicFramePr>
        <xdr:cNvPr id="46" name="Chart 45">
          <a:extLst>
            <a:ext uri="{FF2B5EF4-FFF2-40B4-BE49-F238E27FC236}">
              <a16:creationId xmlns:a16="http://schemas.microsoft.com/office/drawing/2014/main" id="{74FBA80A-580E-D66C-1D52-DB528C0CCB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12</xdr:col>
      <xdr:colOff>582020</xdr:colOff>
      <xdr:row>1128</xdr:row>
      <xdr:rowOff>144235</xdr:rowOff>
    </xdr:from>
    <xdr:to>
      <xdr:col>20</xdr:col>
      <xdr:colOff>451757</xdr:colOff>
      <xdr:row>1142</xdr:row>
      <xdr:rowOff>144235</xdr:rowOff>
    </xdr:to>
    <xdr:graphicFrame macro="">
      <xdr:nvGraphicFramePr>
        <xdr:cNvPr id="47" name="Chart 46">
          <a:extLst>
            <a:ext uri="{FF2B5EF4-FFF2-40B4-BE49-F238E27FC236}">
              <a16:creationId xmlns:a16="http://schemas.microsoft.com/office/drawing/2014/main" id="{5EE44938-1FFD-19FA-7953-60128CE1EA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5</xdr:col>
      <xdr:colOff>476340</xdr:colOff>
      <xdr:row>1304</xdr:row>
      <xdr:rowOff>185352</xdr:rowOff>
    </xdr:from>
    <xdr:to>
      <xdr:col>15</xdr:col>
      <xdr:colOff>603819</xdr:colOff>
      <xdr:row>1322</xdr:row>
      <xdr:rowOff>106216</xdr:rowOff>
    </xdr:to>
    <xdr:graphicFrame macro="">
      <xdr:nvGraphicFramePr>
        <xdr:cNvPr id="36" name="Chart 35">
          <a:extLst>
            <a:ext uri="{FF2B5EF4-FFF2-40B4-BE49-F238E27FC236}">
              <a16:creationId xmlns:a16="http://schemas.microsoft.com/office/drawing/2014/main" id="{68F59BA1-BB11-EDE2-42F3-699831D3B4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11</xdr:col>
      <xdr:colOff>287214</xdr:colOff>
      <xdr:row>1335</xdr:row>
      <xdr:rowOff>29307</xdr:rowOff>
    </xdr:from>
    <xdr:to>
      <xdr:col>20</xdr:col>
      <xdr:colOff>164124</xdr:colOff>
      <xdr:row>1354</xdr:row>
      <xdr:rowOff>187568</xdr:rowOff>
    </xdr:to>
    <xdr:graphicFrame macro="">
      <xdr:nvGraphicFramePr>
        <xdr:cNvPr id="43" name="Chart 42">
          <a:extLst>
            <a:ext uri="{FF2B5EF4-FFF2-40B4-BE49-F238E27FC236}">
              <a16:creationId xmlns:a16="http://schemas.microsoft.com/office/drawing/2014/main" id="{F3E15526-AEE0-9B51-1ABC-4F39BF71EFD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14</xdr:col>
      <xdr:colOff>70338</xdr:colOff>
      <xdr:row>1359</xdr:row>
      <xdr:rowOff>149469</xdr:rowOff>
    </xdr:from>
    <xdr:to>
      <xdr:col>21</xdr:col>
      <xdr:colOff>392722</xdr:colOff>
      <xdr:row>1387</xdr:row>
      <xdr:rowOff>169985</xdr:rowOff>
    </xdr:to>
    <xdr:graphicFrame macro="">
      <xdr:nvGraphicFramePr>
        <xdr:cNvPr id="48" name="Chart 47">
          <a:extLst>
            <a:ext uri="{FF2B5EF4-FFF2-40B4-BE49-F238E27FC236}">
              <a16:creationId xmlns:a16="http://schemas.microsoft.com/office/drawing/2014/main" id="{F1B3B5F3-5FED-8E75-E447-1AEC33009D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3</xdr:col>
      <xdr:colOff>363416</xdr:colOff>
      <xdr:row>1383</xdr:row>
      <xdr:rowOff>108438</xdr:rowOff>
    </xdr:from>
    <xdr:to>
      <xdr:col>10</xdr:col>
      <xdr:colOff>504093</xdr:colOff>
      <xdr:row>1397</xdr:row>
      <xdr:rowOff>143607</xdr:rowOff>
    </xdr:to>
    <xdr:graphicFrame macro="">
      <xdr:nvGraphicFramePr>
        <xdr:cNvPr id="49" name="Chart 48">
          <a:extLst>
            <a:ext uri="{FF2B5EF4-FFF2-40B4-BE49-F238E27FC236}">
              <a16:creationId xmlns:a16="http://schemas.microsoft.com/office/drawing/2014/main" id="{CF4C89B8-E8CE-0FD3-1220-99385A50222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6</xdr:col>
      <xdr:colOff>0</xdr:colOff>
      <xdr:row>1400</xdr:row>
      <xdr:rowOff>0</xdr:rowOff>
    </xdr:from>
    <xdr:to>
      <xdr:col>12</xdr:col>
      <xdr:colOff>392723</xdr:colOff>
      <xdr:row>1414</xdr:row>
      <xdr:rowOff>35169</xdr:rowOff>
    </xdr:to>
    <xdr:graphicFrame macro="">
      <xdr:nvGraphicFramePr>
        <xdr:cNvPr id="50" name="Chart 49">
          <a:extLst>
            <a:ext uri="{FF2B5EF4-FFF2-40B4-BE49-F238E27FC236}">
              <a16:creationId xmlns:a16="http://schemas.microsoft.com/office/drawing/2014/main" id="{05D5489C-C1CE-423D-846E-92CFDD0F07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4</xdr:col>
      <xdr:colOff>64477</xdr:colOff>
      <xdr:row>1421</xdr:row>
      <xdr:rowOff>137746</xdr:rowOff>
    </xdr:from>
    <xdr:to>
      <xdr:col>11</xdr:col>
      <xdr:colOff>46893</xdr:colOff>
      <xdr:row>1435</xdr:row>
      <xdr:rowOff>172916</xdr:rowOff>
    </xdr:to>
    <xdr:graphicFrame macro="">
      <xdr:nvGraphicFramePr>
        <xdr:cNvPr id="51" name="Chart 50">
          <a:extLst>
            <a:ext uri="{FF2B5EF4-FFF2-40B4-BE49-F238E27FC236}">
              <a16:creationId xmlns:a16="http://schemas.microsoft.com/office/drawing/2014/main" id="{2916D1C3-E245-02FE-6D50-1F363E64598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13</xdr:col>
      <xdr:colOff>118110</xdr:colOff>
      <xdr:row>38</xdr:row>
      <xdr:rowOff>0</xdr:rowOff>
    </xdr:from>
    <xdr:to>
      <xdr:col>19</xdr:col>
      <xdr:colOff>443630</xdr:colOff>
      <xdr:row>51</xdr:row>
      <xdr:rowOff>2383</xdr:rowOff>
    </xdr:to>
    <xdr:graphicFrame macro="">
      <xdr:nvGraphicFramePr>
        <xdr:cNvPr id="4" name="Chart 3">
          <a:extLst>
            <a:ext uri="{FF2B5EF4-FFF2-40B4-BE49-F238E27FC236}">
              <a16:creationId xmlns:a16="http://schemas.microsoft.com/office/drawing/2014/main" id="{409F2DF2-D488-92B3-FFE9-71EFDBCCE53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4763</xdr:colOff>
      <xdr:row>219</xdr:row>
      <xdr:rowOff>41910</xdr:rowOff>
    </xdr:from>
    <xdr:to>
      <xdr:col>25</xdr:col>
      <xdr:colOff>1004888</xdr:colOff>
      <xdr:row>233</xdr:row>
      <xdr:rowOff>59055</xdr:rowOff>
    </xdr:to>
    <xdr:graphicFrame macro="">
      <xdr:nvGraphicFramePr>
        <xdr:cNvPr id="5" name="Chart 4">
          <a:extLst>
            <a:ext uri="{FF2B5EF4-FFF2-40B4-BE49-F238E27FC236}">
              <a16:creationId xmlns:a16="http://schemas.microsoft.com/office/drawing/2014/main" id="{72D08FE3-7CAF-029C-AD8A-3A77CA8739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240983</xdr:colOff>
      <xdr:row>233</xdr:row>
      <xdr:rowOff>144780</xdr:rowOff>
    </xdr:from>
    <xdr:to>
      <xdr:col>25</xdr:col>
      <xdr:colOff>797243</xdr:colOff>
      <xdr:row>248</xdr:row>
      <xdr:rowOff>13335</xdr:rowOff>
    </xdr:to>
    <xdr:graphicFrame macro="">
      <xdr:nvGraphicFramePr>
        <xdr:cNvPr id="6" name="Chart 5">
          <a:extLst>
            <a:ext uri="{FF2B5EF4-FFF2-40B4-BE49-F238E27FC236}">
              <a16:creationId xmlns:a16="http://schemas.microsoft.com/office/drawing/2014/main" id="{4B7ED368-18D3-05E0-CC0F-C29242A804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87550</xdr:colOff>
      <xdr:row>82</xdr:row>
      <xdr:rowOff>176930</xdr:rowOff>
    </xdr:from>
    <xdr:to>
      <xdr:col>34</xdr:col>
      <xdr:colOff>381000</xdr:colOff>
      <xdr:row>101</xdr:row>
      <xdr:rowOff>59891</xdr:rowOff>
    </xdr:to>
    <xdr:graphicFrame macro="">
      <xdr:nvGraphicFramePr>
        <xdr:cNvPr id="2" name="Chart 1">
          <a:extLst>
            <a:ext uri="{FF2B5EF4-FFF2-40B4-BE49-F238E27FC236}">
              <a16:creationId xmlns:a16="http://schemas.microsoft.com/office/drawing/2014/main" id="{7B985A4D-C72E-400D-9044-EB0EE2CD9A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362495</xdr:colOff>
      <xdr:row>124</xdr:row>
      <xdr:rowOff>110871</xdr:rowOff>
    </xdr:from>
    <xdr:to>
      <xdr:col>21</xdr:col>
      <xdr:colOff>216030</xdr:colOff>
      <xdr:row>145</xdr:row>
      <xdr:rowOff>148813</xdr:rowOff>
    </xdr:to>
    <xdr:graphicFrame macro="">
      <xdr:nvGraphicFramePr>
        <xdr:cNvPr id="3" name="Chart 2">
          <a:extLst>
            <a:ext uri="{FF2B5EF4-FFF2-40B4-BE49-F238E27FC236}">
              <a16:creationId xmlns:a16="http://schemas.microsoft.com/office/drawing/2014/main" id="{2F164C67-3087-CD05-5480-9545F8DF5FC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417273</xdr:colOff>
      <xdr:row>42</xdr:row>
      <xdr:rowOff>31315</xdr:rowOff>
    </xdr:from>
    <xdr:to>
      <xdr:col>35</xdr:col>
      <xdr:colOff>175816</xdr:colOff>
      <xdr:row>55</xdr:row>
      <xdr:rowOff>93784</xdr:rowOff>
    </xdr:to>
    <xdr:graphicFrame macro="">
      <xdr:nvGraphicFramePr>
        <xdr:cNvPr id="7" name="Chart 6">
          <a:extLst>
            <a:ext uri="{FF2B5EF4-FFF2-40B4-BE49-F238E27FC236}">
              <a16:creationId xmlns:a16="http://schemas.microsoft.com/office/drawing/2014/main" id="{C841FA4E-D1C8-4AC7-9C89-0913E8864E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167640</xdr:colOff>
      <xdr:row>304</xdr:row>
      <xdr:rowOff>63103</xdr:rowOff>
    </xdr:from>
    <xdr:to>
      <xdr:col>20</xdr:col>
      <xdr:colOff>1209676</xdr:colOff>
      <xdr:row>323</xdr:row>
      <xdr:rowOff>100012</xdr:rowOff>
    </xdr:to>
    <xdr:graphicFrame macro="">
      <xdr:nvGraphicFramePr>
        <xdr:cNvPr id="11" name="Chart 10">
          <a:extLst>
            <a:ext uri="{FF2B5EF4-FFF2-40B4-BE49-F238E27FC236}">
              <a16:creationId xmlns:a16="http://schemas.microsoft.com/office/drawing/2014/main" id="{D70F5BA0-2673-6D13-33BA-7F6B7AF76B6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2178844</xdr:colOff>
      <xdr:row>304</xdr:row>
      <xdr:rowOff>30955</xdr:rowOff>
    </xdr:from>
    <xdr:to>
      <xdr:col>12</xdr:col>
      <xdr:colOff>157162</xdr:colOff>
      <xdr:row>321</xdr:row>
      <xdr:rowOff>157161</xdr:rowOff>
    </xdr:to>
    <xdr:graphicFrame macro="">
      <xdr:nvGraphicFramePr>
        <xdr:cNvPr id="9" name="Chart 8">
          <a:extLst>
            <a:ext uri="{FF2B5EF4-FFF2-40B4-BE49-F238E27FC236}">
              <a16:creationId xmlns:a16="http://schemas.microsoft.com/office/drawing/2014/main" id="{22BA6919-50C6-BC50-F80E-247A5B825E9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16051</xdr:colOff>
      <xdr:row>83</xdr:row>
      <xdr:rowOff>36665</xdr:rowOff>
    </xdr:from>
    <xdr:to>
      <xdr:col>26</xdr:col>
      <xdr:colOff>140918</xdr:colOff>
      <xdr:row>103</xdr:row>
      <xdr:rowOff>83507</xdr:rowOff>
    </xdr:to>
    <xdr:graphicFrame macro="">
      <xdr:nvGraphicFramePr>
        <xdr:cNvPr id="12" name="Chart 11">
          <a:extLst>
            <a:ext uri="{FF2B5EF4-FFF2-40B4-BE49-F238E27FC236}">
              <a16:creationId xmlns:a16="http://schemas.microsoft.com/office/drawing/2014/main" id="{8F7D9CDF-2DE1-40A8-A566-40DF618576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18</xdr:col>
      <xdr:colOff>0</xdr:colOff>
      <xdr:row>106</xdr:row>
      <xdr:rowOff>0</xdr:rowOff>
    </xdr:from>
    <xdr:to>
      <xdr:col>25</xdr:col>
      <xdr:colOff>204788</xdr:colOff>
      <xdr:row>122</xdr:row>
      <xdr:rowOff>142875</xdr:rowOff>
    </xdr:to>
    <xdr:graphicFrame macro="">
      <xdr:nvGraphicFramePr>
        <xdr:cNvPr id="13" name="Chart 12">
          <a:extLst>
            <a:ext uri="{FF2B5EF4-FFF2-40B4-BE49-F238E27FC236}">
              <a16:creationId xmlns:a16="http://schemas.microsoft.com/office/drawing/2014/main" id="{2E1A5566-F9C8-46B0-8E54-77CB921196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88008</xdr:colOff>
      <xdr:row>51</xdr:row>
      <xdr:rowOff>140918</xdr:rowOff>
    </xdr:from>
    <xdr:to>
      <xdr:col>26</xdr:col>
      <xdr:colOff>441608</xdr:colOff>
      <xdr:row>67</xdr:row>
      <xdr:rowOff>104383</xdr:rowOff>
    </xdr:to>
    <xdr:graphicFrame macro="">
      <xdr:nvGraphicFramePr>
        <xdr:cNvPr id="14" name="Chart 13">
          <a:extLst>
            <a:ext uri="{FF2B5EF4-FFF2-40B4-BE49-F238E27FC236}">
              <a16:creationId xmlns:a16="http://schemas.microsoft.com/office/drawing/2014/main" id="{2E1FAE4E-4178-DC01-DD93-EEC71321430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20</xdr:col>
      <xdr:colOff>131132</xdr:colOff>
      <xdr:row>67</xdr:row>
      <xdr:rowOff>51931</xdr:rowOff>
    </xdr:from>
    <xdr:to>
      <xdr:col>26</xdr:col>
      <xdr:colOff>235907</xdr:colOff>
      <xdr:row>82</xdr:row>
      <xdr:rowOff>13831</xdr:rowOff>
    </xdr:to>
    <xdr:graphicFrame macro="">
      <xdr:nvGraphicFramePr>
        <xdr:cNvPr id="15" name="Chart 14">
          <a:extLst>
            <a:ext uri="{FF2B5EF4-FFF2-40B4-BE49-F238E27FC236}">
              <a16:creationId xmlns:a16="http://schemas.microsoft.com/office/drawing/2014/main" id="{46A9BB8E-CF3E-4577-8A08-391C97F09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18</xdr:col>
      <xdr:colOff>402512</xdr:colOff>
      <xdr:row>167</xdr:row>
      <xdr:rowOff>151696</xdr:rowOff>
    </xdr:from>
    <xdr:to>
      <xdr:col>26</xdr:col>
      <xdr:colOff>16291</xdr:colOff>
      <xdr:row>188</xdr:row>
      <xdr:rowOff>100433</xdr:rowOff>
    </xdr:to>
    <xdr:graphicFrame macro="">
      <xdr:nvGraphicFramePr>
        <xdr:cNvPr id="8" name="Chart 7">
          <a:extLst>
            <a:ext uri="{FF2B5EF4-FFF2-40B4-BE49-F238E27FC236}">
              <a16:creationId xmlns:a16="http://schemas.microsoft.com/office/drawing/2014/main" id="{711F63AD-2FD5-08A6-67CB-6CF84EB6B4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27</xdr:col>
      <xdr:colOff>125261</xdr:colOff>
      <xdr:row>65</xdr:row>
      <xdr:rowOff>125260</xdr:rowOff>
    </xdr:from>
    <xdr:to>
      <xdr:col>35</xdr:col>
      <xdr:colOff>20878</xdr:colOff>
      <xdr:row>81</xdr:row>
      <xdr:rowOff>137655</xdr:rowOff>
    </xdr:to>
    <xdr:graphicFrame macro="">
      <xdr:nvGraphicFramePr>
        <xdr:cNvPr id="10" name="Chart 9">
          <a:extLst>
            <a:ext uri="{FF2B5EF4-FFF2-40B4-BE49-F238E27FC236}">
              <a16:creationId xmlns:a16="http://schemas.microsoft.com/office/drawing/2014/main" id="{B6801848-0F59-4DAB-837A-CD689E2304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28</xdr:col>
      <xdr:colOff>464428</xdr:colOff>
      <xdr:row>14</xdr:row>
      <xdr:rowOff>30778</xdr:rowOff>
    </xdr:from>
    <xdr:to>
      <xdr:col>38</xdr:col>
      <xdr:colOff>190656</xdr:colOff>
      <xdr:row>38</xdr:row>
      <xdr:rowOff>153793</xdr:rowOff>
    </xdr:to>
    <xdr:graphicFrame macro="">
      <xdr:nvGraphicFramePr>
        <xdr:cNvPr id="17" name="Chart 16">
          <a:extLst>
            <a:ext uri="{FF2B5EF4-FFF2-40B4-BE49-F238E27FC236}">
              <a16:creationId xmlns:a16="http://schemas.microsoft.com/office/drawing/2014/main" id="{0E16539B-734D-3911-108F-09BFC9FBB7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10</xdr:col>
      <xdr:colOff>381000</xdr:colOff>
      <xdr:row>147</xdr:row>
      <xdr:rowOff>36534</xdr:rowOff>
    </xdr:from>
    <xdr:to>
      <xdr:col>17</xdr:col>
      <xdr:colOff>580271</xdr:colOff>
      <xdr:row>166</xdr:row>
      <xdr:rowOff>116866</xdr:rowOff>
    </xdr:to>
    <xdr:graphicFrame macro="">
      <xdr:nvGraphicFramePr>
        <xdr:cNvPr id="16" name="Chart 15">
          <a:extLst>
            <a:ext uri="{FF2B5EF4-FFF2-40B4-BE49-F238E27FC236}">
              <a16:creationId xmlns:a16="http://schemas.microsoft.com/office/drawing/2014/main" id="{5C992E4E-0958-4613-B9FF-C51430F881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20</xdr:col>
      <xdr:colOff>0</xdr:colOff>
      <xdr:row>149</xdr:row>
      <xdr:rowOff>0</xdr:rowOff>
    </xdr:from>
    <xdr:to>
      <xdr:col>25</xdr:col>
      <xdr:colOff>289902</xdr:colOff>
      <xdr:row>168</xdr:row>
      <xdr:rowOff>80967</xdr:rowOff>
    </xdr:to>
    <xdr:graphicFrame macro="">
      <xdr:nvGraphicFramePr>
        <xdr:cNvPr id="18" name="Chart 17">
          <a:extLst>
            <a:ext uri="{FF2B5EF4-FFF2-40B4-BE49-F238E27FC236}">
              <a16:creationId xmlns:a16="http://schemas.microsoft.com/office/drawing/2014/main" id="{5E3B0DD6-C2CC-4665-89CE-D586A5B71A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23</xdr:col>
      <xdr:colOff>0</xdr:colOff>
      <xdr:row>125</xdr:row>
      <xdr:rowOff>15657</xdr:rowOff>
    </xdr:from>
    <xdr:to>
      <xdr:col>29</xdr:col>
      <xdr:colOff>546277</xdr:colOff>
      <xdr:row>146</xdr:row>
      <xdr:rowOff>53600</xdr:rowOff>
    </xdr:to>
    <xdr:graphicFrame macro="">
      <xdr:nvGraphicFramePr>
        <xdr:cNvPr id="19" name="Chart 18">
          <a:extLst>
            <a:ext uri="{FF2B5EF4-FFF2-40B4-BE49-F238E27FC236}">
              <a16:creationId xmlns:a16="http://schemas.microsoft.com/office/drawing/2014/main" id="{947ECF0A-EC48-4F65-BE03-A24159D47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31</xdr:col>
      <xdr:colOff>0</xdr:colOff>
      <xdr:row>125</xdr:row>
      <xdr:rowOff>0</xdr:rowOff>
    </xdr:from>
    <xdr:to>
      <xdr:col>37</xdr:col>
      <xdr:colOff>545642</xdr:colOff>
      <xdr:row>146</xdr:row>
      <xdr:rowOff>37943</xdr:rowOff>
    </xdr:to>
    <xdr:graphicFrame macro="">
      <xdr:nvGraphicFramePr>
        <xdr:cNvPr id="20" name="Chart 19">
          <a:extLst>
            <a:ext uri="{FF2B5EF4-FFF2-40B4-BE49-F238E27FC236}">
              <a16:creationId xmlns:a16="http://schemas.microsoft.com/office/drawing/2014/main" id="{9E37F53A-EB7C-4225-A5D8-4B8D4ED457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28</xdr:col>
      <xdr:colOff>121226</xdr:colOff>
      <xdr:row>148</xdr:row>
      <xdr:rowOff>11544</xdr:rowOff>
    </xdr:from>
    <xdr:to>
      <xdr:col>37</xdr:col>
      <xdr:colOff>5772</xdr:colOff>
      <xdr:row>166</xdr:row>
      <xdr:rowOff>109681</xdr:rowOff>
    </xdr:to>
    <xdr:graphicFrame macro="">
      <xdr:nvGraphicFramePr>
        <xdr:cNvPr id="21" name="Chart 20">
          <a:extLst>
            <a:ext uri="{FF2B5EF4-FFF2-40B4-BE49-F238E27FC236}">
              <a16:creationId xmlns:a16="http://schemas.microsoft.com/office/drawing/2014/main" id="{B4CF3200-22A2-3EDC-8A4B-E09C93AAF33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16</xdr:col>
      <xdr:colOff>86592</xdr:colOff>
      <xdr:row>425</xdr:row>
      <xdr:rowOff>5773</xdr:rowOff>
    </xdr:from>
    <xdr:to>
      <xdr:col>29</xdr:col>
      <xdr:colOff>277091</xdr:colOff>
      <xdr:row>444</xdr:row>
      <xdr:rowOff>57727</xdr:rowOff>
    </xdr:to>
    <xdr:graphicFrame macro="">
      <xdr:nvGraphicFramePr>
        <xdr:cNvPr id="22" name="Chart 21">
          <a:extLst>
            <a:ext uri="{FF2B5EF4-FFF2-40B4-BE49-F238E27FC236}">
              <a16:creationId xmlns:a16="http://schemas.microsoft.com/office/drawing/2014/main" id="{9ED33881-1D79-D251-7445-B2AF164D923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202045</xdr:colOff>
      <xdr:row>467</xdr:row>
      <xdr:rowOff>158172</xdr:rowOff>
    </xdr:from>
    <xdr:to>
      <xdr:col>17</xdr:col>
      <xdr:colOff>531091</xdr:colOff>
      <xdr:row>484</xdr:row>
      <xdr:rowOff>153554</xdr:rowOff>
    </xdr:to>
    <xdr:graphicFrame macro="">
      <xdr:nvGraphicFramePr>
        <xdr:cNvPr id="23" name="Chart 22">
          <a:extLst>
            <a:ext uri="{FF2B5EF4-FFF2-40B4-BE49-F238E27FC236}">
              <a16:creationId xmlns:a16="http://schemas.microsoft.com/office/drawing/2014/main" id="{0B9C56F6-78BA-EE3C-3346-173FDD2B7A3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381000</xdr:colOff>
      <xdr:row>390</xdr:row>
      <xdr:rowOff>154781</xdr:rowOff>
    </xdr:from>
    <xdr:to>
      <xdr:col>12</xdr:col>
      <xdr:colOff>273844</xdr:colOff>
      <xdr:row>404</xdr:row>
      <xdr:rowOff>178593</xdr:rowOff>
    </xdr:to>
    <xdr:graphicFrame macro="">
      <xdr:nvGraphicFramePr>
        <xdr:cNvPr id="2" name="Chart 1">
          <a:extLst>
            <a:ext uri="{FF2B5EF4-FFF2-40B4-BE49-F238E27FC236}">
              <a16:creationId xmlns:a16="http://schemas.microsoft.com/office/drawing/2014/main" id="{FA9D9D3A-956D-48E6-B1D4-11BC1106E72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386952</xdr:colOff>
      <xdr:row>392</xdr:row>
      <xdr:rowOff>104777</xdr:rowOff>
    </xdr:from>
    <xdr:to>
      <xdr:col>18</xdr:col>
      <xdr:colOff>309563</xdr:colOff>
      <xdr:row>404</xdr:row>
      <xdr:rowOff>95249</xdr:rowOff>
    </xdr:to>
    <xdr:graphicFrame macro="">
      <xdr:nvGraphicFramePr>
        <xdr:cNvPr id="3" name="Chart 2">
          <a:extLst>
            <a:ext uri="{FF2B5EF4-FFF2-40B4-BE49-F238E27FC236}">
              <a16:creationId xmlns:a16="http://schemas.microsoft.com/office/drawing/2014/main" id="{3ACC230E-CA97-4A5E-8CC9-407DCA630A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511493</xdr:colOff>
      <xdr:row>462</xdr:row>
      <xdr:rowOff>7620</xdr:rowOff>
    </xdr:from>
    <xdr:to>
      <xdr:col>19</xdr:col>
      <xdr:colOff>1082993</xdr:colOff>
      <xdr:row>475</xdr:row>
      <xdr:rowOff>45720</xdr:rowOff>
    </xdr:to>
    <xdr:graphicFrame macro="">
      <xdr:nvGraphicFramePr>
        <xdr:cNvPr id="4" name="Chart 3">
          <a:extLst>
            <a:ext uri="{FF2B5EF4-FFF2-40B4-BE49-F238E27FC236}">
              <a16:creationId xmlns:a16="http://schemas.microsoft.com/office/drawing/2014/main" id="{4B89C212-397C-488B-9D08-EE27FCC549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644843</xdr:colOff>
      <xdr:row>477</xdr:row>
      <xdr:rowOff>130627</xdr:rowOff>
    </xdr:from>
    <xdr:to>
      <xdr:col>20</xdr:col>
      <xdr:colOff>70757</xdr:colOff>
      <xdr:row>492</xdr:row>
      <xdr:rowOff>38099</xdr:rowOff>
    </xdr:to>
    <xdr:graphicFrame macro="">
      <xdr:nvGraphicFramePr>
        <xdr:cNvPr id="5" name="Chart 4">
          <a:extLst>
            <a:ext uri="{FF2B5EF4-FFF2-40B4-BE49-F238E27FC236}">
              <a16:creationId xmlns:a16="http://schemas.microsoft.com/office/drawing/2014/main" id="{F5881EB6-A147-47B2-86D7-B6D8423A85E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581024</xdr:colOff>
      <xdr:row>503</xdr:row>
      <xdr:rowOff>171449</xdr:rowOff>
    </xdr:from>
    <xdr:to>
      <xdr:col>22</xdr:col>
      <xdr:colOff>185056</xdr:colOff>
      <xdr:row>518</xdr:row>
      <xdr:rowOff>168728</xdr:rowOff>
    </xdr:to>
    <xdr:graphicFrame macro="">
      <xdr:nvGraphicFramePr>
        <xdr:cNvPr id="6" name="Chart 5">
          <a:extLst>
            <a:ext uri="{FF2B5EF4-FFF2-40B4-BE49-F238E27FC236}">
              <a16:creationId xmlns:a16="http://schemas.microsoft.com/office/drawing/2014/main" id="{FBCA4765-91E2-48A4-AD4A-3DAB72364D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571508</xdr:colOff>
      <xdr:row>521</xdr:row>
      <xdr:rowOff>92868</xdr:rowOff>
    </xdr:from>
    <xdr:to>
      <xdr:col>19</xdr:col>
      <xdr:colOff>1131102</xdr:colOff>
      <xdr:row>534</xdr:row>
      <xdr:rowOff>133349</xdr:rowOff>
    </xdr:to>
    <xdr:graphicFrame macro="">
      <xdr:nvGraphicFramePr>
        <xdr:cNvPr id="7" name="Chart 6">
          <a:extLst>
            <a:ext uri="{FF2B5EF4-FFF2-40B4-BE49-F238E27FC236}">
              <a16:creationId xmlns:a16="http://schemas.microsoft.com/office/drawing/2014/main" id="{5917FDC9-38D0-421D-990E-B67064F6416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76207</xdr:colOff>
      <xdr:row>297</xdr:row>
      <xdr:rowOff>109537</xdr:rowOff>
    </xdr:from>
    <xdr:to>
      <xdr:col>16</xdr:col>
      <xdr:colOff>48985</xdr:colOff>
      <xdr:row>313</xdr:row>
      <xdr:rowOff>180974</xdr:rowOff>
    </xdr:to>
    <xdr:graphicFrame macro="">
      <xdr:nvGraphicFramePr>
        <xdr:cNvPr id="8" name="Chart 7">
          <a:extLst>
            <a:ext uri="{FF2B5EF4-FFF2-40B4-BE49-F238E27FC236}">
              <a16:creationId xmlns:a16="http://schemas.microsoft.com/office/drawing/2014/main" id="{84AD8AB9-5750-4997-9F94-BA40CCA02D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333376</xdr:colOff>
      <xdr:row>69</xdr:row>
      <xdr:rowOff>154305</xdr:rowOff>
    </xdr:from>
    <xdr:to>
      <xdr:col>12</xdr:col>
      <xdr:colOff>483054</xdr:colOff>
      <xdr:row>88</xdr:row>
      <xdr:rowOff>20411</xdr:rowOff>
    </xdr:to>
    <xdr:graphicFrame macro="">
      <xdr:nvGraphicFramePr>
        <xdr:cNvPr id="2" name="Chart 1">
          <a:extLst>
            <a:ext uri="{FF2B5EF4-FFF2-40B4-BE49-F238E27FC236}">
              <a16:creationId xmlns:a16="http://schemas.microsoft.com/office/drawing/2014/main" id="{7223960C-6AFB-91F8-0EE3-27CD22E779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598714</xdr:colOff>
      <xdr:row>69</xdr:row>
      <xdr:rowOff>149678</xdr:rowOff>
    </xdr:from>
    <xdr:to>
      <xdr:col>23</xdr:col>
      <xdr:colOff>251732</xdr:colOff>
      <xdr:row>88</xdr:row>
      <xdr:rowOff>156481</xdr:rowOff>
    </xdr:to>
    <xdr:graphicFrame macro="">
      <xdr:nvGraphicFramePr>
        <xdr:cNvPr id="3" name="Chart 2">
          <a:extLst>
            <a:ext uri="{FF2B5EF4-FFF2-40B4-BE49-F238E27FC236}">
              <a16:creationId xmlns:a16="http://schemas.microsoft.com/office/drawing/2014/main" id="{B67270BA-1242-4D2C-B985-06F533EC91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32</xdr:col>
      <xdr:colOff>136070</xdr:colOff>
      <xdr:row>35</xdr:row>
      <xdr:rowOff>183696</xdr:rowOff>
    </xdr:from>
    <xdr:to>
      <xdr:col>43</xdr:col>
      <xdr:colOff>176892</xdr:colOff>
      <xdr:row>86</xdr:row>
      <xdr:rowOff>183696</xdr:rowOff>
    </xdr:to>
    <xdr:graphicFrame macro="">
      <xdr:nvGraphicFramePr>
        <xdr:cNvPr id="4" name="Chart 3">
          <a:extLst>
            <a:ext uri="{FF2B5EF4-FFF2-40B4-BE49-F238E27FC236}">
              <a16:creationId xmlns:a16="http://schemas.microsoft.com/office/drawing/2014/main" id="{1193DF42-37ED-74F9-7C71-577D96A6F9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29</xdr:col>
      <xdr:colOff>166687</xdr:colOff>
      <xdr:row>123</xdr:row>
      <xdr:rowOff>178594</xdr:rowOff>
    </xdr:from>
    <xdr:to>
      <xdr:col>39</xdr:col>
      <xdr:colOff>211283</xdr:colOff>
      <xdr:row>131</xdr:row>
      <xdr:rowOff>21677</xdr:rowOff>
    </xdr:to>
    <xdr:pic>
      <xdr:nvPicPr>
        <xdr:cNvPr id="2" name="Picture 1">
          <a:extLst>
            <a:ext uri="{FF2B5EF4-FFF2-40B4-BE49-F238E27FC236}">
              <a16:creationId xmlns:a16="http://schemas.microsoft.com/office/drawing/2014/main" id="{6FE29D09-8516-4379-81A6-13EDB231DF35}"/>
            </a:ext>
          </a:extLst>
        </xdr:cNvPr>
        <xdr:cNvPicPr>
          <a:picLocks noChangeAspect="1"/>
        </xdr:cNvPicPr>
      </xdr:nvPicPr>
      <xdr:blipFill>
        <a:blip xmlns:r="http://schemas.openxmlformats.org/officeDocument/2006/relationships" r:embed="rId1"/>
        <a:stretch>
          <a:fillRect/>
        </a:stretch>
      </xdr:blipFill>
      <xdr:spPr>
        <a:xfrm>
          <a:off x="13370718" y="20216813"/>
          <a:ext cx="6704476" cy="147185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dcfil02\CHQ_users\ghorn00\My%20Documents\VoIP%20Model\Cisco%20VoIP%20Model%20v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pp3\common\CORPACCT\Financial%20Reporting\SEC\FORM10-Q\2004\3Q%202004\Corporate\workpapers\Debt%20Report%209-30-2004%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5&#20104;&#23455;\_Package\&#20840;&#31038;&#65381;&#37096;&#21029;&#22522;&#30990;Data&#21152;&#24037;&#20966;&#29702;_&#26368;&#26032;&#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LECOMS/STOCKS/ASIA%20(ex-Japan)%20Internet/Tech%20analyser%20v2.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jsv002\user%20folder2\Planning\FLASH%20SUMMARY\050912%20Flash%20Daily%20Report\Back%20Up&#29992;\Back%20Up&#29992;\EMM%20%20&#23455;&#32318;Revi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able\finance\TAX51A\COBB\EXCEL\CASHFLOW\2005\1st%20Qtr%202005\FAS%20115%20Tax%201Q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6&#20104;&#23455;\_Reporting\_&#12381;&#12398;&#20182;BS&#12539;CF&#12539;Inventory\&#12381;&#12398;&#20182;&#12524;&#12509;&#12540;&#12488;&#12501;&#12449;&#12452;&#12523;-&#26368;&#26032;&#2925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able\corp-dfs\Financial%20Planning\REPORTING\2016\1Q16\Below%20the%20Line\Support\Net_IncomeBridge.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able\Documents%20and%20Settings\PurvisR\Local%20Settings\Temporary%20Internet%20Files\OLK7F\Documents%20and%20Settings\PreeceS\Local%20Settings\Temporary%20Internet%20Files\OLK22\Overhead%20Consolidation%20December%202003.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4&#20104;&#23455;\_&#12381;&#12398;&#20182;\200405&#35211;&#36796;&#12415;&#1238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jsv002\user%20folder2\Accounting\&#20104;&#23455;&#38306;&#36899;\_FY06&#20104;&#23455;\_Reporting\_PL&#38306;&#36899;\FY06_&#37096;&#38263;&#20250;&#29992;&#36039;&#26009;&#20316;&#25104;&#65420;&#65383;&#65394;&#65433;-&#26368;&#26032;&#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pment"/>
      <sheetName val="Model"/>
      <sheetName val="Financial Statements"/>
      <sheetName val="Capex"/>
      <sheetName val="Capex Input"/>
      <sheetName val="Results"/>
      <sheetName val="BTS Tabl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 Debt Roll"/>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ﾃﾞｰﾀ加工(MTD)"/>
      <sheetName val="ﾃﾞｰﾀ加工(YTD)"/>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BTOW"/>
      <sheetName val="MELI"/>
      <sheetName val="BAI"/>
      <sheetName val="TC"/>
      <sheetName val="QH"/>
      <sheetName val="REN"/>
      <sheetName val="SINA"/>
      <sheetName val="WB"/>
      <sheetName val="CA"/>
      <sheetName val="DNA"/>
      <sheetName val="GR"/>
      <sheetName val="NEX"/>
      <sheetName val="RAK"/>
      <sheetName val="YJP"/>
      <sheetName val="BTOW1"/>
      <sheetName val="MELI1"/>
      <sheetName val="BAI1"/>
      <sheetName val="TC1"/>
      <sheetName val="QH1"/>
      <sheetName val="REN1"/>
      <sheetName val="SINA1"/>
      <sheetName val="WB1"/>
      <sheetName val="CA1"/>
      <sheetName val="DNA1"/>
      <sheetName val="GR1"/>
      <sheetName val="NEX1"/>
      <sheetName val="RAK1"/>
      <sheetName val="YJP1"/>
      <sheetName val="Global comps"/>
      <sheetName val="Consensus data"/>
      <sheetName val="Share prices"/>
    </sheetNames>
    <sheetDataSet>
      <sheetData sheetId="0">
        <row r="84">
          <cell r="C84">
            <v>1.52207</v>
          </cell>
        </row>
        <row r="86">
          <cell r="C86">
            <v>2.2357999999999998</v>
          </cell>
        </row>
        <row r="87">
          <cell r="C87">
            <v>99.71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1">
          <cell r="C41">
            <v>0.39643310566492568</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FY 2nd Hafl Latest Estimate"/>
      <sheetName val="WeeklyData"/>
      <sheetName val="Sheet3"/>
    </sheetNames>
    <sheetDataSet>
      <sheetData sheetId="0" refreshError="1"/>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Cost Report"/>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_ID"/>
      <sheetName val="★ﾒﾆｭｰ"/>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
      <sheetName val="Ref"/>
      <sheetName val="WaterFall_Prep"/>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Z"/>
      <sheetName val="BEN"/>
      <sheetName val="BRA"/>
      <sheetName val="CE"/>
      <sheetName val="FRA"/>
      <sheetName val="ITA"/>
      <sheetName val="JPN"/>
      <sheetName val="KOR"/>
      <sheetName val="MEX"/>
      <sheetName val="NOR"/>
      <sheetName val="SPA"/>
      <sheetName val="UK"/>
      <sheetName val="UPIBV"/>
      <sheetName val="UPIO"/>
      <sheetName val="UPV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礎ﾃﾞｰﾀ"/>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theme/theme1.xml><?xml version="1.0" encoding="utf-8"?>
<a:theme xmlns:a="http://schemas.openxmlformats.org/drawingml/2006/main" name="Office 2013 - 2022 Theme">
  <a:themeElements>
    <a:clrScheme name="New Street Research Colors">
      <a:dk1>
        <a:sysClr val="windowText" lastClr="000000"/>
      </a:dk1>
      <a:lt1>
        <a:sysClr val="window" lastClr="FFFFFF"/>
      </a:lt1>
      <a:dk2>
        <a:srgbClr val="799098"/>
      </a:dk2>
      <a:lt2>
        <a:srgbClr val="263238"/>
      </a:lt2>
      <a:accent1>
        <a:srgbClr val="C7FE02"/>
      </a:accent1>
      <a:accent2>
        <a:srgbClr val="E3F982"/>
      </a:accent2>
      <a:accent3>
        <a:srgbClr val="F9663E"/>
      </a:accent3>
      <a:accent4>
        <a:srgbClr val="F19375"/>
      </a:accent4>
      <a:accent5>
        <a:srgbClr val="00C994"/>
      </a:accent5>
      <a:accent6>
        <a:srgbClr val="80D4C1"/>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010FB-225F-41A0-8976-1D02FA34D508}">
  <dimension ref="A8:AU39"/>
  <sheetViews>
    <sheetView showGridLines="0" tabSelected="1" zoomScale="92" zoomScaleNormal="100" workbookViewId="0">
      <selection activeCell="B11" sqref="B11"/>
    </sheetView>
  </sheetViews>
  <sheetFormatPr defaultColWidth="8.5" defaultRowHeight="11.7" x14ac:dyDescent="0.45"/>
  <cols>
    <col min="1" max="1" width="15" style="3" customWidth="1"/>
    <col min="2" max="2" width="12.59765625" style="3" customWidth="1"/>
    <col min="3" max="9" width="8.5" style="3"/>
    <col min="10" max="10" width="9.5" style="3" customWidth="1"/>
    <col min="11" max="12" width="8.5" style="3"/>
    <col min="13" max="13" width="10.19921875" style="3" customWidth="1"/>
    <col min="14" max="20" width="8.5" style="3"/>
    <col min="21" max="21" width="7.19921875" style="3" customWidth="1"/>
    <col min="22" max="16384" width="8.5" style="3"/>
  </cols>
  <sheetData>
    <row r="8" spans="1:20" ht="13.2" thickBot="1" x14ac:dyDescent="0.55000000000000004">
      <c r="A8" s="1"/>
      <c r="B8" s="2"/>
      <c r="C8" s="2"/>
      <c r="D8" s="2"/>
      <c r="E8" s="2"/>
      <c r="F8" s="2"/>
      <c r="G8" s="2"/>
      <c r="H8" s="2"/>
      <c r="I8" s="2"/>
      <c r="J8" s="2"/>
      <c r="K8" s="2"/>
      <c r="L8" s="2"/>
      <c r="M8" s="2"/>
      <c r="N8" s="2"/>
      <c r="O8" s="2"/>
      <c r="P8" s="2"/>
      <c r="Q8" s="2"/>
      <c r="R8" s="2"/>
      <c r="S8" s="2"/>
      <c r="T8" s="2"/>
    </row>
    <row r="9" spans="1:20" x14ac:dyDescent="0.45">
      <c r="A9" s="4"/>
      <c r="B9" s="4"/>
      <c r="C9" s="4"/>
      <c r="D9" s="4"/>
      <c r="E9" s="4"/>
      <c r="F9" s="4"/>
      <c r="G9" s="4"/>
      <c r="H9" s="4"/>
      <c r="I9" s="4"/>
      <c r="J9" s="4"/>
      <c r="K9" s="4"/>
      <c r="L9" s="4"/>
      <c r="M9" s="4"/>
      <c r="N9" s="4"/>
      <c r="O9" s="4"/>
      <c r="P9" s="4"/>
      <c r="Q9" s="4"/>
      <c r="R9" s="4"/>
      <c r="S9" s="4"/>
      <c r="T9" s="4"/>
    </row>
    <row r="10" spans="1:20" x14ac:dyDescent="0.45">
      <c r="A10" s="4"/>
      <c r="B10" s="4"/>
      <c r="C10" s="4"/>
      <c r="D10" s="4"/>
      <c r="E10" s="4"/>
      <c r="F10" s="4"/>
      <c r="G10" s="4"/>
      <c r="H10" s="4"/>
      <c r="I10" s="4"/>
      <c r="J10" s="4"/>
      <c r="K10" s="4"/>
      <c r="L10" s="4"/>
      <c r="M10" s="4"/>
      <c r="N10" s="4"/>
      <c r="O10" s="4"/>
      <c r="P10" s="4"/>
      <c r="Q10" s="4"/>
      <c r="R10" s="4"/>
      <c r="S10" s="4"/>
      <c r="T10" s="4"/>
    </row>
    <row r="11" spans="1:20" x14ac:dyDescent="0.45">
      <c r="A11" s="4"/>
      <c r="B11" s="4"/>
      <c r="C11" s="4"/>
      <c r="D11" s="4"/>
      <c r="E11" s="4"/>
      <c r="F11" s="4"/>
      <c r="G11" s="4"/>
      <c r="H11" s="4"/>
      <c r="I11" s="4"/>
      <c r="J11" s="4"/>
      <c r="K11" s="4"/>
      <c r="L11" s="4"/>
      <c r="M11" s="4"/>
      <c r="N11" s="4"/>
      <c r="O11" s="4"/>
      <c r="P11" s="4"/>
      <c r="Q11" s="4"/>
      <c r="R11" s="4"/>
      <c r="S11" s="4"/>
      <c r="T11" s="4"/>
    </row>
    <row r="12" spans="1:20" x14ac:dyDescent="0.45">
      <c r="A12" s="4"/>
      <c r="B12" s="4"/>
      <c r="C12" s="4"/>
      <c r="D12" s="4"/>
      <c r="E12" s="4"/>
      <c r="F12" s="4"/>
      <c r="G12" s="4"/>
      <c r="H12" s="4"/>
      <c r="I12" s="4"/>
      <c r="J12" s="4"/>
      <c r="K12" s="4"/>
      <c r="L12" s="4"/>
      <c r="M12" s="4"/>
      <c r="N12" s="4"/>
      <c r="O12" s="4"/>
      <c r="P12" s="4"/>
      <c r="Q12" s="4"/>
      <c r="R12" s="4"/>
      <c r="S12" s="4"/>
      <c r="T12" s="4"/>
    </row>
    <row r="13" spans="1:20" ht="23.1" x14ac:dyDescent="0.85">
      <c r="A13" s="4"/>
      <c r="B13" s="5" t="s">
        <v>484</v>
      </c>
      <c r="C13" s="4"/>
      <c r="D13" s="4"/>
      <c r="E13" s="4"/>
      <c r="F13" s="4"/>
      <c r="G13" s="4"/>
      <c r="H13" s="4"/>
      <c r="I13" s="4"/>
      <c r="J13" s="4"/>
      <c r="K13" s="4"/>
      <c r="L13" s="4"/>
      <c r="M13" s="4"/>
      <c r="N13" s="4"/>
      <c r="O13" s="4"/>
      <c r="P13" s="4"/>
      <c r="Q13" s="4"/>
      <c r="R13" s="4"/>
      <c r="S13" s="4"/>
      <c r="T13" s="4"/>
    </row>
    <row r="14" spans="1:20" x14ac:dyDescent="0.45">
      <c r="A14" s="4"/>
      <c r="B14" s="4"/>
      <c r="C14" s="4"/>
      <c r="D14" s="4"/>
      <c r="E14" s="4"/>
      <c r="F14" s="4"/>
      <c r="G14" s="4"/>
      <c r="H14" s="4"/>
      <c r="I14" s="4"/>
      <c r="J14" s="4"/>
      <c r="K14" s="4"/>
      <c r="L14" s="4"/>
      <c r="M14" s="4"/>
      <c r="N14" s="4"/>
      <c r="O14" s="4"/>
      <c r="P14" s="4"/>
      <c r="Q14" s="4"/>
      <c r="R14" s="4"/>
      <c r="S14" s="4"/>
      <c r="T14" s="4"/>
    </row>
    <row r="15" spans="1:20" x14ac:dyDescent="0.45">
      <c r="A15" s="4"/>
      <c r="B15" s="4"/>
      <c r="C15" s="4"/>
      <c r="D15" s="4"/>
      <c r="E15" s="4"/>
      <c r="F15" s="4"/>
      <c r="G15" s="4"/>
      <c r="H15" s="4"/>
      <c r="I15" s="4"/>
      <c r="J15" s="4"/>
      <c r="K15" s="4"/>
      <c r="L15" s="4"/>
      <c r="M15" s="4"/>
      <c r="N15" s="4"/>
      <c r="O15" s="4"/>
      <c r="P15" s="4"/>
      <c r="Q15" s="4"/>
      <c r="R15" s="4"/>
      <c r="S15" s="4"/>
      <c r="T15" s="4"/>
    </row>
    <row r="16" spans="1:20" x14ac:dyDescent="0.45">
      <c r="A16" s="4"/>
      <c r="B16" s="6">
        <f ca="1">+TODAY()</f>
        <v>45567</v>
      </c>
      <c r="C16" s="4"/>
      <c r="D16" s="4"/>
      <c r="E16" s="4"/>
      <c r="F16" s="4"/>
      <c r="G16" s="4"/>
      <c r="H16" s="4"/>
      <c r="I16" s="4"/>
      <c r="J16" s="4"/>
      <c r="K16" s="4"/>
      <c r="L16" s="4"/>
      <c r="M16" s="4"/>
      <c r="N16" s="4"/>
      <c r="O16" s="4"/>
      <c r="P16" s="4"/>
      <c r="Q16" s="4"/>
      <c r="R16" s="4"/>
      <c r="S16" s="4"/>
      <c r="T16" s="4"/>
    </row>
    <row r="17" spans="1:47" ht="12.9" x14ac:dyDescent="0.5">
      <c r="A17" s="4"/>
      <c r="B17" s="7"/>
      <c r="C17" s="4"/>
      <c r="D17" s="4"/>
      <c r="E17" s="4"/>
      <c r="F17" s="4"/>
      <c r="G17" s="4"/>
      <c r="H17" s="4"/>
      <c r="I17" s="4"/>
      <c r="J17" s="4"/>
      <c r="K17" s="4"/>
      <c r="L17" s="4"/>
      <c r="M17" s="4"/>
      <c r="N17" s="4"/>
      <c r="O17" s="4"/>
      <c r="P17" s="4"/>
      <c r="Q17" s="4"/>
      <c r="R17" s="4"/>
      <c r="S17" s="4"/>
      <c r="T17" s="4"/>
    </row>
    <row r="18" spans="1:47" ht="12.9" x14ac:dyDescent="0.5">
      <c r="A18" s="4"/>
      <c r="B18" s="7"/>
      <c r="C18" s="4"/>
      <c r="D18" s="4"/>
      <c r="E18" s="4"/>
      <c r="F18" s="4"/>
      <c r="G18" s="4"/>
      <c r="H18" s="4"/>
      <c r="I18" s="4"/>
      <c r="J18" s="4"/>
      <c r="K18" s="4"/>
      <c r="L18" s="4"/>
      <c r="M18" s="4"/>
      <c r="N18" s="4"/>
      <c r="O18" s="4"/>
      <c r="P18" s="4"/>
      <c r="Q18" s="4"/>
      <c r="R18" s="4"/>
      <c r="S18" s="4"/>
      <c r="T18" s="4"/>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row>
    <row r="19" spans="1:47" ht="12.9" x14ac:dyDescent="0.5">
      <c r="A19" s="4"/>
      <c r="B19" s="9" t="s">
        <v>0</v>
      </c>
      <c r="C19" s="4"/>
      <c r="D19" s="4"/>
      <c r="E19" s="4"/>
      <c r="F19" s="4"/>
      <c r="G19" s="4"/>
      <c r="H19" s="10"/>
      <c r="I19" s="4"/>
      <c r="J19" s="4"/>
      <c r="K19" s="4"/>
      <c r="L19" s="4"/>
      <c r="M19" s="4"/>
      <c r="N19" s="4"/>
      <c r="O19" s="4"/>
      <c r="P19" s="4"/>
      <c r="Q19" s="4"/>
      <c r="R19" s="4"/>
      <c r="S19" s="4"/>
      <c r="T19" s="4"/>
      <c r="U19" s="8"/>
      <c r="V19" s="8"/>
    </row>
    <row r="20" spans="1:47" ht="12.9" x14ac:dyDescent="0.5">
      <c r="A20" s="4"/>
      <c r="B20" s="11" t="s">
        <v>1</v>
      </c>
      <c r="C20" s="4"/>
      <c r="D20" s="4"/>
      <c r="E20" s="4"/>
      <c r="F20" s="4"/>
      <c r="G20" s="4"/>
      <c r="H20" s="4"/>
      <c r="I20" s="4"/>
      <c r="J20" s="4"/>
      <c r="K20" s="4"/>
      <c r="L20" s="4"/>
      <c r="M20" s="4"/>
      <c r="N20" s="4"/>
      <c r="O20" s="4"/>
      <c r="P20" s="4"/>
      <c r="Q20" s="4"/>
      <c r="R20" s="8"/>
      <c r="S20" s="8"/>
      <c r="T20" s="8"/>
      <c r="U20" s="8"/>
      <c r="V20" s="8"/>
    </row>
    <row r="21" spans="1:47" ht="12.9" x14ac:dyDescent="0.5">
      <c r="A21" s="4"/>
      <c r="B21" s="12" t="s">
        <v>2</v>
      </c>
      <c r="C21" s="13"/>
      <c r="D21" s="13"/>
      <c r="E21" s="4"/>
      <c r="F21" s="4"/>
      <c r="G21" s="4"/>
      <c r="H21" s="4"/>
      <c r="I21" s="4"/>
      <c r="J21" s="4"/>
      <c r="K21" s="4"/>
      <c r="L21" s="4"/>
      <c r="M21" s="4"/>
      <c r="N21" s="4"/>
      <c r="O21" s="4"/>
      <c r="P21" s="4"/>
      <c r="Q21" s="4"/>
      <c r="R21" s="4"/>
      <c r="S21" s="4"/>
      <c r="T21" s="4"/>
    </row>
    <row r="22" spans="1:47" ht="12.9" x14ac:dyDescent="0.5">
      <c r="A22" s="4"/>
      <c r="B22" s="7" t="s">
        <v>3</v>
      </c>
      <c r="C22" s="13"/>
      <c r="D22" s="13"/>
      <c r="E22" s="4"/>
      <c r="F22" s="4"/>
      <c r="G22" s="4"/>
      <c r="H22" s="4"/>
      <c r="I22" s="4"/>
      <c r="J22" s="4"/>
      <c r="K22" s="4"/>
      <c r="L22" s="4"/>
      <c r="M22" s="4"/>
      <c r="N22" s="4"/>
      <c r="O22" s="4"/>
      <c r="P22" s="4"/>
      <c r="Q22" s="4"/>
      <c r="R22" s="4"/>
      <c r="S22" s="4"/>
      <c r="T22" s="4"/>
    </row>
    <row r="23" spans="1:47" ht="12.9" x14ac:dyDescent="0.5">
      <c r="A23" s="4"/>
      <c r="B23" s="7"/>
      <c r="C23" s="13"/>
      <c r="D23" s="13"/>
      <c r="E23" s="4"/>
      <c r="F23" s="4"/>
      <c r="G23" s="4"/>
      <c r="H23" s="4"/>
      <c r="I23" s="4"/>
      <c r="J23" s="4"/>
      <c r="K23" s="4"/>
      <c r="L23" s="4"/>
      <c r="M23" s="4"/>
      <c r="N23" s="4"/>
      <c r="O23" s="4"/>
      <c r="P23" s="4"/>
      <c r="Q23" s="4"/>
      <c r="R23" s="4"/>
      <c r="S23" s="4"/>
      <c r="T23" s="4"/>
    </row>
    <row r="24" spans="1:47" x14ac:dyDescent="0.45">
      <c r="A24" s="4"/>
      <c r="B24" s="14"/>
      <c r="C24" s="13"/>
      <c r="D24" s="13"/>
      <c r="E24" s="4"/>
      <c r="F24" s="4"/>
      <c r="G24" s="4"/>
      <c r="H24" s="4"/>
      <c r="I24" s="4"/>
      <c r="J24" s="15"/>
      <c r="K24" s="4"/>
      <c r="L24" s="4"/>
      <c r="M24" s="4"/>
      <c r="N24" s="4"/>
      <c r="O24" s="4"/>
      <c r="P24" s="4"/>
      <c r="Q24" s="4"/>
      <c r="R24" s="4"/>
      <c r="S24" s="4"/>
      <c r="T24" s="4"/>
    </row>
    <row r="25" spans="1:47" x14ac:dyDescent="0.45">
      <c r="A25" s="4"/>
      <c r="B25" s="13" t="s">
        <v>4</v>
      </c>
      <c r="C25" s="379" t="s">
        <v>655</v>
      </c>
      <c r="D25" s="4"/>
      <c r="E25" s="4"/>
      <c r="F25" s="4"/>
      <c r="G25" s="4"/>
      <c r="H25" s="4"/>
      <c r="I25" s="4"/>
      <c r="J25" s="4"/>
      <c r="K25" s="4"/>
      <c r="L25" s="4"/>
      <c r="M25" s="15"/>
      <c r="N25" s="4"/>
      <c r="O25" s="4"/>
      <c r="P25" s="4"/>
      <c r="Q25" s="4"/>
      <c r="R25" s="4"/>
      <c r="S25" s="4"/>
      <c r="T25" s="4"/>
    </row>
    <row r="26" spans="1:47" x14ac:dyDescent="0.45">
      <c r="A26" s="4"/>
      <c r="B26" s="13" t="s">
        <v>5</v>
      </c>
      <c r="C26" s="379" t="s">
        <v>1788</v>
      </c>
      <c r="D26" s="4"/>
      <c r="E26" s="4"/>
      <c r="F26" s="4"/>
      <c r="G26" s="4"/>
      <c r="H26" s="4"/>
      <c r="I26" s="4"/>
      <c r="J26" s="4"/>
      <c r="K26" s="4"/>
      <c r="L26" s="4"/>
      <c r="M26" s="15"/>
      <c r="N26" s="4"/>
      <c r="O26" s="4"/>
      <c r="P26" s="4"/>
      <c r="Q26" s="4"/>
      <c r="R26" s="4"/>
      <c r="S26" s="4"/>
      <c r="T26" s="4"/>
    </row>
    <row r="27" spans="1:47" x14ac:dyDescent="0.45">
      <c r="A27" s="4"/>
      <c r="B27" s="13" t="s">
        <v>6</v>
      </c>
      <c r="C27" s="830">
        <v>13</v>
      </c>
      <c r="D27" s="10"/>
      <c r="E27" s="10"/>
      <c r="F27" s="4"/>
      <c r="G27" s="4"/>
      <c r="H27" s="4"/>
      <c r="I27" s="4"/>
      <c r="J27" s="4"/>
      <c r="K27" s="4"/>
      <c r="L27" s="4"/>
      <c r="M27" s="4"/>
      <c r="N27" s="4"/>
      <c r="O27" s="4"/>
      <c r="P27" s="4"/>
      <c r="Q27" s="4"/>
      <c r="R27" s="4"/>
      <c r="S27" s="4"/>
      <c r="T27" s="4"/>
    </row>
    <row r="28" spans="1:47" x14ac:dyDescent="0.45">
      <c r="A28" s="4"/>
      <c r="B28" s="13"/>
      <c r="C28" s="16"/>
      <c r="D28" s="10"/>
      <c r="E28" s="10"/>
      <c r="F28" s="10"/>
      <c r="G28" s="10"/>
      <c r="H28" s="10"/>
      <c r="I28" s="10"/>
      <c r="J28" s="10"/>
      <c r="K28" s="10"/>
      <c r="L28" s="10"/>
      <c r="M28" s="10"/>
      <c r="N28" s="10"/>
      <c r="O28" s="10"/>
      <c r="P28" s="4"/>
      <c r="Q28" s="4"/>
      <c r="R28" s="4"/>
      <c r="S28" s="4"/>
      <c r="T28" s="4"/>
    </row>
    <row r="29" spans="1:47" x14ac:dyDescent="0.45">
      <c r="A29" s="4"/>
      <c r="B29" s="13"/>
      <c r="C29" s="16"/>
      <c r="D29" s="10"/>
      <c r="E29" s="10"/>
      <c r="F29" s="10"/>
      <c r="G29" s="10"/>
      <c r="H29" s="10"/>
      <c r="I29" s="10"/>
      <c r="J29" s="10"/>
      <c r="K29" s="10"/>
      <c r="L29" s="10"/>
      <c r="M29" s="10"/>
      <c r="N29" s="10"/>
      <c r="O29" s="10"/>
      <c r="P29" s="4"/>
      <c r="Q29" s="4"/>
      <c r="R29" s="4"/>
      <c r="S29" s="4"/>
      <c r="T29" s="4"/>
    </row>
    <row r="30" spans="1:47" x14ac:dyDescent="0.45">
      <c r="A30" s="4"/>
      <c r="B30" s="13"/>
      <c r="C30" s="16"/>
      <c r="D30" s="4"/>
      <c r="E30" s="4"/>
      <c r="F30" s="4"/>
      <c r="G30" s="4"/>
      <c r="H30" s="4"/>
      <c r="I30" s="4"/>
      <c r="J30" s="4"/>
      <c r="K30" s="4"/>
      <c r="L30" s="4"/>
      <c r="M30" s="4"/>
      <c r="N30" s="4"/>
      <c r="O30" s="4"/>
      <c r="P30" s="4"/>
      <c r="Q30" s="4"/>
      <c r="R30" s="4"/>
      <c r="S30" s="4"/>
      <c r="T30" s="4"/>
    </row>
    <row r="31" spans="1:47" x14ac:dyDescent="0.45">
      <c r="A31" s="4"/>
      <c r="B31" s="4"/>
      <c r="C31" s="4"/>
      <c r="D31" s="4"/>
      <c r="E31" s="4"/>
      <c r="F31" s="4"/>
      <c r="G31" s="4"/>
      <c r="H31" s="4"/>
      <c r="I31" s="4"/>
      <c r="J31" s="4"/>
      <c r="K31" s="4"/>
      <c r="L31" s="4"/>
      <c r="M31" s="4"/>
      <c r="N31" s="4"/>
      <c r="O31" s="4"/>
      <c r="P31" s="4"/>
      <c r="Q31" s="4"/>
      <c r="R31" s="4"/>
      <c r="S31" s="4"/>
      <c r="T31" s="4"/>
    </row>
    <row r="32" spans="1:47" x14ac:dyDescent="0.45">
      <c r="A32" s="4"/>
      <c r="B32" s="4"/>
      <c r="C32" s="4"/>
      <c r="D32" s="4"/>
      <c r="E32" s="4"/>
      <c r="F32" s="4"/>
      <c r="G32" s="4"/>
      <c r="H32" s="4"/>
      <c r="I32" s="4"/>
      <c r="J32" s="4"/>
      <c r="K32" s="4"/>
      <c r="L32" s="4"/>
      <c r="M32" s="4"/>
      <c r="N32" s="4"/>
      <c r="O32" s="4"/>
      <c r="P32" s="4"/>
      <c r="Q32" s="4"/>
      <c r="R32" s="4"/>
      <c r="S32" s="4"/>
      <c r="T32" s="4"/>
    </row>
    <row r="33" spans="1:20" x14ac:dyDescent="0.45">
      <c r="A33" s="4"/>
      <c r="B33" s="4"/>
      <c r="C33" s="4"/>
      <c r="D33" s="4"/>
      <c r="E33" s="4"/>
      <c r="F33" s="4"/>
      <c r="G33" s="4"/>
      <c r="H33" s="4"/>
      <c r="I33" s="4"/>
      <c r="J33" s="4"/>
      <c r="K33" s="4"/>
      <c r="L33" s="4"/>
      <c r="M33" s="4"/>
      <c r="N33" s="4"/>
      <c r="O33" s="4"/>
      <c r="P33" s="4"/>
      <c r="Q33" s="4"/>
      <c r="R33" s="4"/>
      <c r="S33" s="4"/>
      <c r="T33" s="4"/>
    </row>
    <row r="34" spans="1:20" x14ac:dyDescent="0.45">
      <c r="A34" s="4"/>
      <c r="B34" s="4"/>
      <c r="C34" s="4"/>
      <c r="D34" s="4"/>
      <c r="E34" s="4"/>
      <c r="F34" s="4"/>
      <c r="G34" s="4"/>
      <c r="H34" s="4"/>
      <c r="I34" s="4"/>
      <c r="J34" s="4"/>
      <c r="K34" s="4"/>
      <c r="L34" s="4"/>
      <c r="M34" s="4"/>
      <c r="N34" s="4"/>
      <c r="O34" s="4"/>
      <c r="P34" s="4"/>
      <c r="Q34" s="4"/>
      <c r="R34" s="4"/>
      <c r="S34" s="4"/>
      <c r="T34" s="4"/>
    </row>
    <row r="35" spans="1:20" x14ac:dyDescent="0.45">
      <c r="A35" s="4"/>
      <c r="B35" s="4"/>
      <c r="C35" s="4"/>
      <c r="D35" s="4"/>
      <c r="E35" s="4"/>
      <c r="F35" s="4"/>
      <c r="G35" s="4"/>
      <c r="H35" s="4"/>
      <c r="I35" s="4"/>
      <c r="J35" s="4"/>
      <c r="K35" s="4"/>
      <c r="L35" s="4"/>
      <c r="M35" s="4"/>
      <c r="N35" s="4"/>
      <c r="O35" s="4"/>
      <c r="P35" s="4"/>
      <c r="Q35" s="4"/>
      <c r="R35" s="4"/>
      <c r="S35" s="4"/>
      <c r="T35" s="4"/>
    </row>
    <row r="36" spans="1:20" x14ac:dyDescent="0.45">
      <c r="A36" s="4"/>
      <c r="B36" s="4"/>
      <c r="C36" s="4"/>
      <c r="D36" s="4"/>
      <c r="E36" s="4"/>
      <c r="F36" s="4"/>
      <c r="G36" s="4"/>
      <c r="H36" s="4"/>
      <c r="I36" s="4"/>
      <c r="J36" s="4"/>
      <c r="K36" s="4"/>
      <c r="L36" s="4"/>
      <c r="M36" s="4"/>
      <c r="N36" s="4"/>
      <c r="O36" s="4"/>
      <c r="P36" s="4"/>
      <c r="Q36" s="4"/>
      <c r="R36" s="4"/>
      <c r="S36" s="4"/>
      <c r="T36" s="4"/>
    </row>
    <row r="37" spans="1:20" x14ac:dyDescent="0.45">
      <c r="A37" s="4"/>
      <c r="B37" s="4"/>
      <c r="C37" s="4"/>
      <c r="D37" s="4"/>
      <c r="E37" s="4"/>
      <c r="F37" s="4"/>
      <c r="G37" s="4"/>
      <c r="H37" s="4"/>
      <c r="I37" s="4"/>
      <c r="J37" s="4"/>
      <c r="K37" s="4"/>
      <c r="L37" s="4"/>
      <c r="M37" s="4"/>
      <c r="N37" s="4"/>
      <c r="O37" s="4"/>
      <c r="P37" s="4"/>
      <c r="Q37" s="4"/>
      <c r="R37" s="4"/>
      <c r="S37" s="4"/>
      <c r="T37" s="4"/>
    </row>
    <row r="38" spans="1:20" x14ac:dyDescent="0.45">
      <c r="A38" s="4"/>
      <c r="B38" s="4"/>
      <c r="C38" s="4"/>
      <c r="D38" s="4"/>
      <c r="E38" s="4"/>
      <c r="F38" s="4"/>
      <c r="G38" s="4"/>
      <c r="H38" s="4"/>
      <c r="I38" s="4"/>
      <c r="J38" s="4"/>
      <c r="K38" s="4"/>
      <c r="L38" s="4"/>
      <c r="M38" s="4"/>
      <c r="N38" s="4"/>
      <c r="O38" s="4"/>
      <c r="P38" s="4"/>
      <c r="Q38" s="4"/>
      <c r="R38" s="4"/>
      <c r="S38" s="4"/>
      <c r="T38" s="4"/>
    </row>
    <row r="39" spans="1:20" ht="12" thickBot="1" x14ac:dyDescent="0.5">
      <c r="A39" s="2"/>
      <c r="B39" s="2"/>
      <c r="C39" s="2"/>
      <c r="D39" s="2"/>
      <c r="E39" s="2"/>
      <c r="F39" s="2"/>
      <c r="G39" s="2"/>
      <c r="H39" s="2"/>
      <c r="I39" s="2"/>
      <c r="J39" s="2"/>
      <c r="K39" s="2"/>
      <c r="L39" s="2"/>
      <c r="M39" s="2"/>
      <c r="N39" s="2"/>
      <c r="O39" s="2"/>
      <c r="P39" s="2"/>
      <c r="Q39" s="2"/>
      <c r="R39" s="2"/>
      <c r="S39" s="2"/>
      <c r="T39" s="2"/>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026E2-0FA0-4937-93E6-F0879CBC3845}">
  <dimension ref="C2:AE46"/>
  <sheetViews>
    <sheetView topLeftCell="A4" zoomScale="56" workbookViewId="0">
      <selection activeCell="O39" sqref="O39"/>
    </sheetView>
  </sheetViews>
  <sheetFormatPr defaultRowHeight="15.6" x14ac:dyDescent="0.6"/>
  <sheetData>
    <row r="2" spans="3:31" x14ac:dyDescent="0.6">
      <c r="D2" t="s">
        <v>2052</v>
      </c>
      <c r="E2" t="s">
        <v>2053</v>
      </c>
      <c r="F2" t="s">
        <v>2054</v>
      </c>
      <c r="G2" t="s">
        <v>1997</v>
      </c>
      <c r="H2" t="str">
        <f>D2</f>
        <v>rotating</v>
      </c>
      <c r="I2" t="str">
        <f t="shared" ref="I2:J2" si="0">E2</f>
        <v>instalment</v>
      </c>
      <c r="J2" t="str">
        <f t="shared" si="0"/>
        <v>no int</v>
      </c>
      <c r="K2" t="s">
        <v>2031</v>
      </c>
      <c r="L2" t="str">
        <f>H2</f>
        <v>rotating</v>
      </c>
      <c r="M2" t="str">
        <f t="shared" ref="M2:N2" si="1">I2</f>
        <v>instalment</v>
      </c>
      <c r="N2" t="str">
        <f t="shared" si="1"/>
        <v>no int</v>
      </c>
      <c r="O2" t="s">
        <v>742</v>
      </c>
      <c r="T2" t="s">
        <v>2033</v>
      </c>
      <c r="U2" t="s">
        <v>2035</v>
      </c>
      <c r="V2" t="s">
        <v>2034</v>
      </c>
      <c r="W2" t="s">
        <v>2032</v>
      </c>
      <c r="AA2" t="s">
        <v>2036</v>
      </c>
      <c r="AE2" t="s">
        <v>2056</v>
      </c>
    </row>
    <row r="3" spans="3:31" x14ac:dyDescent="0.6">
      <c r="C3" t="s">
        <v>1998</v>
      </c>
      <c r="D3" s="1181">
        <v>35383</v>
      </c>
      <c r="E3" s="1181">
        <v>22479</v>
      </c>
      <c r="F3" s="1181">
        <v>227795</v>
      </c>
      <c r="G3">
        <f>D3+E3+F3</f>
        <v>285657</v>
      </c>
      <c r="H3" s="1181">
        <v>15263</v>
      </c>
      <c r="I3" s="1181">
        <v>35383</v>
      </c>
      <c r="J3" s="1181">
        <v>22479</v>
      </c>
      <c r="K3">
        <f>H3+I3+J3</f>
        <v>73125</v>
      </c>
      <c r="L3" s="1181">
        <f>D3+H3</f>
        <v>50646</v>
      </c>
      <c r="M3" s="1181">
        <f t="shared" ref="M3:N3" si="2">E3+I3</f>
        <v>57862</v>
      </c>
      <c r="N3" s="1181">
        <f t="shared" si="2"/>
        <v>250274</v>
      </c>
      <c r="O3">
        <f>G3+K3</f>
        <v>358782</v>
      </c>
      <c r="T3" s="1297">
        <v>248289</v>
      </c>
      <c r="U3" s="1297">
        <v>24477</v>
      </c>
      <c r="V3" s="1297">
        <v>166293</v>
      </c>
      <c r="W3">
        <f t="shared" ref="W3:W37" si="3">T3+U3+V3</f>
        <v>439059</v>
      </c>
      <c r="AA3" s="1297">
        <v>149324</v>
      </c>
      <c r="AE3">
        <v>4.2</v>
      </c>
    </row>
    <row r="4" spans="3:31" x14ac:dyDescent="0.6">
      <c r="C4" t="s">
        <v>1999</v>
      </c>
      <c r="D4" s="1181">
        <v>35978</v>
      </c>
      <c r="E4" s="1181">
        <v>23048</v>
      </c>
      <c r="F4" s="1181">
        <v>219852</v>
      </c>
      <c r="G4">
        <f t="shared" ref="G4:G46" si="4">D4+E4+F4</f>
        <v>278878</v>
      </c>
      <c r="H4" s="1181">
        <v>15581</v>
      </c>
      <c r="I4" s="1181">
        <v>35978</v>
      </c>
      <c r="J4" s="1181">
        <v>23048</v>
      </c>
      <c r="K4">
        <f t="shared" ref="K4:K46" si="5">H4+I4+J4</f>
        <v>74607</v>
      </c>
      <c r="L4" s="1181">
        <f t="shared" ref="L4:L14" si="6">D4+H4</f>
        <v>51559</v>
      </c>
      <c r="M4" s="1181">
        <f t="shared" ref="M4:M14" si="7">E4+I4</f>
        <v>59026</v>
      </c>
      <c r="N4" s="1181">
        <f t="shared" ref="N4:N14" si="8">F4+J4</f>
        <v>242900</v>
      </c>
      <c r="O4">
        <f t="shared" ref="O4:O46" si="9">G4+K4</f>
        <v>353485</v>
      </c>
      <c r="T4" s="1297">
        <v>251232</v>
      </c>
      <c r="U4" s="1297">
        <v>24691</v>
      </c>
      <c r="V4" s="1297">
        <v>167114</v>
      </c>
      <c r="W4">
        <f t="shared" si="3"/>
        <v>443037</v>
      </c>
      <c r="AA4" s="1297">
        <v>152256</v>
      </c>
      <c r="AE4">
        <v>4.0999999999999996</v>
      </c>
    </row>
    <row r="5" spans="3:31" x14ac:dyDescent="0.6">
      <c r="C5" t="s">
        <v>2000</v>
      </c>
      <c r="D5" s="1181">
        <v>37671</v>
      </c>
      <c r="E5" s="1181">
        <v>23878</v>
      </c>
      <c r="F5" s="1181">
        <v>213995</v>
      </c>
      <c r="G5">
        <f t="shared" si="4"/>
        <v>275544</v>
      </c>
      <c r="H5" s="1181">
        <v>16010</v>
      </c>
      <c r="I5" s="1181">
        <v>37671</v>
      </c>
      <c r="J5" s="1181">
        <v>23878</v>
      </c>
      <c r="K5">
        <f t="shared" si="5"/>
        <v>77559</v>
      </c>
      <c r="L5" s="1181">
        <f t="shared" si="6"/>
        <v>53681</v>
      </c>
      <c r="M5" s="1181">
        <f t="shared" si="7"/>
        <v>61549</v>
      </c>
      <c r="N5" s="1181">
        <f t="shared" si="8"/>
        <v>237873</v>
      </c>
      <c r="O5">
        <f t="shared" si="9"/>
        <v>353103</v>
      </c>
      <c r="T5" s="1297">
        <v>253939</v>
      </c>
      <c r="U5" s="1297">
        <v>24922</v>
      </c>
      <c r="V5" s="1297">
        <v>167935</v>
      </c>
      <c r="W5">
        <f t="shared" si="3"/>
        <v>446796</v>
      </c>
      <c r="AA5" s="1297">
        <v>156065</v>
      </c>
      <c r="AE5">
        <v>4.0999999999999996</v>
      </c>
    </row>
    <row r="6" spans="3:31" x14ac:dyDescent="0.6">
      <c r="C6" t="s">
        <v>2001</v>
      </c>
      <c r="D6" s="1181">
        <v>36423</v>
      </c>
      <c r="E6" s="1181">
        <v>24787</v>
      </c>
      <c r="F6" s="1181">
        <v>215987</v>
      </c>
      <c r="G6">
        <f t="shared" si="4"/>
        <v>277197</v>
      </c>
      <c r="H6" s="1181">
        <v>16494</v>
      </c>
      <c r="I6" s="1181">
        <v>36423</v>
      </c>
      <c r="J6" s="1181">
        <v>24787</v>
      </c>
      <c r="K6">
        <f t="shared" si="5"/>
        <v>77704</v>
      </c>
      <c r="L6" s="1181">
        <f t="shared" si="6"/>
        <v>52917</v>
      </c>
      <c r="M6" s="1181">
        <f t="shared" si="7"/>
        <v>61210</v>
      </c>
      <c r="N6" s="1181">
        <f t="shared" si="8"/>
        <v>240774</v>
      </c>
      <c r="O6">
        <f t="shared" si="9"/>
        <v>354901</v>
      </c>
      <c r="T6" s="1297">
        <v>257030</v>
      </c>
      <c r="U6" s="1297">
        <v>25116</v>
      </c>
      <c r="V6" s="1297">
        <v>169271</v>
      </c>
      <c r="W6">
        <f t="shared" si="3"/>
        <v>451417</v>
      </c>
      <c r="AA6" s="1297">
        <v>161311</v>
      </c>
      <c r="AE6">
        <v>4</v>
      </c>
    </row>
    <row r="7" spans="3:31" x14ac:dyDescent="0.6">
      <c r="C7" t="s">
        <v>2002</v>
      </c>
      <c r="D7" s="1181">
        <v>36636</v>
      </c>
      <c r="E7" s="1181">
        <v>25544</v>
      </c>
      <c r="F7" s="1181">
        <v>217429</v>
      </c>
      <c r="G7">
        <f t="shared" si="4"/>
        <v>279609</v>
      </c>
      <c r="H7" s="1181">
        <v>16861</v>
      </c>
      <c r="I7" s="1181">
        <v>36636</v>
      </c>
      <c r="J7" s="1181">
        <v>25544</v>
      </c>
      <c r="K7">
        <f t="shared" si="5"/>
        <v>79041</v>
      </c>
      <c r="L7" s="1181">
        <f t="shared" si="6"/>
        <v>53497</v>
      </c>
      <c r="M7" s="1181">
        <f t="shared" si="7"/>
        <v>62180</v>
      </c>
      <c r="N7" s="1181">
        <f t="shared" si="8"/>
        <v>242973</v>
      </c>
      <c r="O7">
        <f t="shared" si="9"/>
        <v>358650</v>
      </c>
      <c r="T7" s="1297">
        <v>261590</v>
      </c>
      <c r="U7" s="1297">
        <v>25476</v>
      </c>
      <c r="V7" s="1297">
        <v>174113</v>
      </c>
      <c r="W7">
        <f t="shared" si="3"/>
        <v>461179</v>
      </c>
      <c r="AA7" s="1297">
        <v>164969</v>
      </c>
      <c r="AE7">
        <v>4</v>
      </c>
    </row>
    <row r="8" spans="3:31" x14ac:dyDescent="0.6">
      <c r="C8" t="s">
        <v>2003</v>
      </c>
      <c r="D8" s="1181">
        <v>37417</v>
      </c>
      <c r="E8" s="1181">
        <v>26216</v>
      </c>
      <c r="F8" s="1181">
        <v>229855</v>
      </c>
      <c r="G8">
        <f t="shared" si="4"/>
        <v>293488</v>
      </c>
      <c r="H8" s="1181">
        <v>17336</v>
      </c>
      <c r="I8" s="1181">
        <v>37417</v>
      </c>
      <c r="J8" s="1181">
        <v>26216</v>
      </c>
      <c r="K8">
        <f t="shared" si="5"/>
        <v>80969</v>
      </c>
      <c r="L8" s="1181">
        <f t="shared" si="6"/>
        <v>54753</v>
      </c>
      <c r="M8" s="1181">
        <f t="shared" si="7"/>
        <v>63633</v>
      </c>
      <c r="N8" s="1181">
        <f t="shared" si="8"/>
        <v>256071</v>
      </c>
      <c r="O8">
        <f t="shared" si="9"/>
        <v>374457</v>
      </c>
      <c r="T8" s="1297">
        <v>266603</v>
      </c>
      <c r="U8" s="1297">
        <v>25803</v>
      </c>
      <c r="V8" s="1297">
        <v>177339</v>
      </c>
      <c r="W8">
        <f t="shared" si="3"/>
        <v>469745</v>
      </c>
      <c r="AA8" s="1297">
        <v>168165</v>
      </c>
      <c r="AE8">
        <v>4.0999999999999996</v>
      </c>
    </row>
    <row r="9" spans="3:31" x14ac:dyDescent="0.6">
      <c r="C9" t="s">
        <v>2004</v>
      </c>
      <c r="D9" s="1181">
        <v>38487</v>
      </c>
      <c r="E9" s="1181">
        <v>26587</v>
      </c>
      <c r="F9" s="1181">
        <v>236592</v>
      </c>
      <c r="G9">
        <f t="shared" si="4"/>
        <v>301666</v>
      </c>
      <c r="H9" s="1181">
        <v>17887</v>
      </c>
      <c r="I9" s="1181">
        <v>38487</v>
      </c>
      <c r="J9" s="1181">
        <v>26587</v>
      </c>
      <c r="K9">
        <f t="shared" si="5"/>
        <v>82961</v>
      </c>
      <c r="L9" s="1181">
        <f t="shared" si="6"/>
        <v>56374</v>
      </c>
      <c r="M9" s="1181">
        <f t="shared" si="7"/>
        <v>65074</v>
      </c>
      <c r="N9" s="1181">
        <f t="shared" si="8"/>
        <v>263179</v>
      </c>
      <c r="O9">
        <f t="shared" si="9"/>
        <v>384627</v>
      </c>
      <c r="T9" s="1297">
        <v>270868</v>
      </c>
      <c r="U9" s="1297">
        <v>26868</v>
      </c>
      <c r="V9" s="1297">
        <v>180065</v>
      </c>
      <c r="W9">
        <f t="shared" si="3"/>
        <v>477801</v>
      </c>
      <c r="AA9" s="1297">
        <v>172766</v>
      </c>
      <c r="AE9">
        <v>4</v>
      </c>
    </row>
    <row r="10" spans="3:31" x14ac:dyDescent="0.6">
      <c r="C10" t="s">
        <v>2005</v>
      </c>
      <c r="D10" s="1181">
        <v>38780</v>
      </c>
      <c r="E10" s="1181">
        <v>27037</v>
      </c>
      <c r="F10" s="1181">
        <v>245523</v>
      </c>
      <c r="G10">
        <f t="shared" si="4"/>
        <v>311340</v>
      </c>
      <c r="H10" s="1181">
        <v>18690</v>
      </c>
      <c r="I10" s="1181">
        <v>38780</v>
      </c>
      <c r="J10" s="1181">
        <v>27037</v>
      </c>
      <c r="K10">
        <f t="shared" si="5"/>
        <v>84507</v>
      </c>
      <c r="L10" s="1181">
        <f t="shared" si="6"/>
        <v>57470</v>
      </c>
      <c r="M10" s="1181">
        <f t="shared" si="7"/>
        <v>65817</v>
      </c>
      <c r="N10" s="1181">
        <f t="shared" si="8"/>
        <v>272560</v>
      </c>
      <c r="O10">
        <f t="shared" si="9"/>
        <v>395847</v>
      </c>
      <c r="T10" s="1297">
        <v>274125</v>
      </c>
      <c r="U10" s="1297">
        <v>27452</v>
      </c>
      <c r="V10" s="1297">
        <v>182519</v>
      </c>
      <c r="W10">
        <f t="shared" si="3"/>
        <v>484096</v>
      </c>
      <c r="AA10" s="1297">
        <v>177871</v>
      </c>
      <c r="AE10">
        <v>4.0999999999999996</v>
      </c>
    </row>
    <row r="11" spans="3:31" x14ac:dyDescent="0.6">
      <c r="C11" t="s">
        <v>2006</v>
      </c>
      <c r="D11" s="1181">
        <v>40424</v>
      </c>
      <c r="E11" s="1181">
        <v>27952</v>
      </c>
      <c r="F11" s="1181">
        <v>254633</v>
      </c>
      <c r="G11">
        <f t="shared" si="4"/>
        <v>323009</v>
      </c>
      <c r="H11" s="1181">
        <v>19355</v>
      </c>
      <c r="I11" s="1181">
        <v>40424</v>
      </c>
      <c r="J11" s="1181">
        <v>27952</v>
      </c>
      <c r="K11">
        <f t="shared" si="5"/>
        <v>87731</v>
      </c>
      <c r="L11" s="1181">
        <f t="shared" si="6"/>
        <v>59779</v>
      </c>
      <c r="M11" s="1181">
        <f t="shared" si="7"/>
        <v>68376</v>
      </c>
      <c r="N11" s="1181">
        <f t="shared" si="8"/>
        <v>282585</v>
      </c>
      <c r="O11">
        <f t="shared" si="9"/>
        <v>410740</v>
      </c>
      <c r="T11" s="1297">
        <v>279205</v>
      </c>
      <c r="U11" s="1297">
        <v>28063</v>
      </c>
      <c r="V11" s="1297">
        <v>184540</v>
      </c>
      <c r="W11">
        <f t="shared" si="3"/>
        <v>491808</v>
      </c>
      <c r="AA11" s="1297">
        <v>185546</v>
      </c>
      <c r="AE11">
        <v>4.0999999999999996</v>
      </c>
    </row>
    <row r="12" spans="3:31" x14ac:dyDescent="0.6">
      <c r="C12" t="s">
        <v>2007</v>
      </c>
      <c r="D12" s="1181">
        <v>42391</v>
      </c>
      <c r="E12" s="1181">
        <v>29047</v>
      </c>
      <c r="F12" s="1181">
        <v>262073</v>
      </c>
      <c r="G12">
        <f t="shared" si="4"/>
        <v>333511</v>
      </c>
      <c r="H12" s="1181">
        <v>20051</v>
      </c>
      <c r="I12" s="1181">
        <v>42391</v>
      </c>
      <c r="J12" s="1181">
        <v>29047</v>
      </c>
      <c r="K12">
        <f t="shared" si="5"/>
        <v>91489</v>
      </c>
      <c r="L12" s="1181">
        <f t="shared" si="6"/>
        <v>62442</v>
      </c>
      <c r="M12" s="1181">
        <f t="shared" si="7"/>
        <v>71438</v>
      </c>
      <c r="N12" s="1181">
        <f t="shared" si="8"/>
        <v>291120</v>
      </c>
      <c r="O12">
        <f t="shared" si="9"/>
        <v>425000</v>
      </c>
      <c r="T12" s="1297">
        <v>283807</v>
      </c>
      <c r="U12" s="1297">
        <v>27959</v>
      </c>
      <c r="V12" s="1297">
        <v>186893</v>
      </c>
      <c r="W12">
        <f t="shared" si="3"/>
        <v>498659</v>
      </c>
      <c r="AA12" s="1297">
        <v>193060</v>
      </c>
      <c r="AE12">
        <v>4.2</v>
      </c>
    </row>
    <row r="13" spans="3:31" x14ac:dyDescent="0.6">
      <c r="C13" t="s">
        <v>2008</v>
      </c>
      <c r="D13" s="1181">
        <v>44943</v>
      </c>
      <c r="E13" s="1181">
        <v>30396</v>
      </c>
      <c r="F13" s="1181">
        <v>273547</v>
      </c>
      <c r="G13">
        <f t="shared" si="4"/>
        <v>348886</v>
      </c>
      <c r="H13" s="1181">
        <v>20658</v>
      </c>
      <c r="I13" s="1181">
        <v>44943</v>
      </c>
      <c r="J13" s="1181">
        <v>30396</v>
      </c>
      <c r="K13">
        <f t="shared" si="5"/>
        <v>95997</v>
      </c>
      <c r="L13" s="1181">
        <f t="shared" si="6"/>
        <v>65601</v>
      </c>
      <c r="M13" s="1181">
        <f t="shared" si="7"/>
        <v>75339</v>
      </c>
      <c r="N13" s="1181">
        <f t="shared" si="8"/>
        <v>303943</v>
      </c>
      <c r="O13">
        <f t="shared" si="9"/>
        <v>444883</v>
      </c>
      <c r="T13" s="1297">
        <v>286825</v>
      </c>
      <c r="U13" s="1297">
        <v>28500</v>
      </c>
      <c r="V13" s="1297">
        <v>188719</v>
      </c>
      <c r="W13">
        <f t="shared" si="3"/>
        <v>504044</v>
      </c>
      <c r="AA13" s="1297">
        <v>201717</v>
      </c>
      <c r="AE13">
        <v>4.2</v>
      </c>
    </row>
    <row r="14" spans="3:31" x14ac:dyDescent="0.6">
      <c r="C14" t="s">
        <v>2009</v>
      </c>
      <c r="D14" s="1181">
        <v>48423</v>
      </c>
      <c r="E14" s="1181">
        <v>31790</v>
      </c>
      <c r="F14" s="1181">
        <v>298652</v>
      </c>
      <c r="G14">
        <f t="shared" si="4"/>
        <v>378865</v>
      </c>
      <c r="H14" s="1181">
        <v>21280</v>
      </c>
      <c r="I14" s="1181">
        <v>48423</v>
      </c>
      <c r="J14" s="1181">
        <v>31790</v>
      </c>
      <c r="K14">
        <f t="shared" si="5"/>
        <v>101493</v>
      </c>
      <c r="L14" s="1181">
        <f t="shared" si="6"/>
        <v>69703</v>
      </c>
      <c r="M14" s="1181">
        <f t="shared" si="7"/>
        <v>80213</v>
      </c>
      <c r="N14" s="1181">
        <f t="shared" si="8"/>
        <v>330442</v>
      </c>
      <c r="O14">
        <f t="shared" si="9"/>
        <v>480358</v>
      </c>
      <c r="T14" s="1297">
        <v>290069</v>
      </c>
      <c r="U14" s="1297">
        <v>28893</v>
      </c>
      <c r="V14" s="1297">
        <v>190966</v>
      </c>
      <c r="W14">
        <f t="shared" si="3"/>
        <v>509928</v>
      </c>
      <c r="AA14" s="1297">
        <v>205588</v>
      </c>
      <c r="AE14">
        <v>4.3</v>
      </c>
    </row>
    <row r="15" spans="3:31" x14ac:dyDescent="0.6">
      <c r="C15" t="s">
        <v>2010</v>
      </c>
      <c r="D15" s="1181">
        <v>49206</v>
      </c>
      <c r="E15" s="1181">
        <v>32683</v>
      </c>
      <c r="F15" s="1181">
        <v>310848</v>
      </c>
      <c r="G15">
        <f t="shared" si="4"/>
        <v>392737</v>
      </c>
      <c r="H15" s="1181">
        <v>21688</v>
      </c>
      <c r="I15" s="1181">
        <v>49206</v>
      </c>
      <c r="J15" s="1181">
        <v>32683</v>
      </c>
      <c r="K15">
        <f t="shared" si="5"/>
        <v>103577</v>
      </c>
      <c r="L15" s="1181">
        <v>49206</v>
      </c>
      <c r="M15" s="1181">
        <v>32683</v>
      </c>
      <c r="N15" s="1181">
        <v>310848</v>
      </c>
      <c r="O15">
        <f t="shared" si="9"/>
        <v>496314</v>
      </c>
      <c r="P15" s="234">
        <f t="shared" ref="P15:P37" si="10">O15/O3-1</f>
        <v>0.3833302674047192</v>
      </c>
      <c r="T15" s="1297">
        <v>292039</v>
      </c>
      <c r="U15" s="1297">
        <v>29171</v>
      </c>
      <c r="V15" s="1297">
        <v>192417</v>
      </c>
      <c r="W15">
        <f t="shared" si="3"/>
        <v>513627</v>
      </c>
      <c r="X15" s="234">
        <f t="shared" ref="X15:X37" si="11">W15/W3-1</f>
        <v>0.16983594459970064</v>
      </c>
      <c r="AA15" s="1297">
        <v>210670</v>
      </c>
      <c r="AB15" s="234">
        <f t="shared" ref="AB15:AB37" si="12">AA15/AA3-1</f>
        <v>0.41082478369183795</v>
      </c>
      <c r="AE15">
        <v>4.4000000000000004</v>
      </c>
    </row>
    <row r="16" spans="3:31" x14ac:dyDescent="0.6">
      <c r="C16" t="s">
        <v>2011</v>
      </c>
      <c r="D16" s="1181">
        <v>53411</v>
      </c>
      <c r="E16" s="1181">
        <v>34014</v>
      </c>
      <c r="F16" s="1181">
        <v>305225</v>
      </c>
      <c r="G16">
        <f t="shared" si="4"/>
        <v>392650</v>
      </c>
      <c r="H16" s="1181">
        <v>21961</v>
      </c>
      <c r="I16" s="1181">
        <v>53411</v>
      </c>
      <c r="J16" s="1181">
        <v>34014</v>
      </c>
      <c r="K16">
        <f t="shared" si="5"/>
        <v>109386</v>
      </c>
      <c r="L16" s="1181">
        <v>53411</v>
      </c>
      <c r="M16" s="1181">
        <v>34014</v>
      </c>
      <c r="N16" s="1181">
        <v>305225</v>
      </c>
      <c r="O16">
        <f t="shared" si="9"/>
        <v>502036</v>
      </c>
      <c r="P16" s="234">
        <f t="shared" si="10"/>
        <v>0.42024696946122186</v>
      </c>
      <c r="T16" s="1297">
        <v>293009</v>
      </c>
      <c r="U16" s="1297">
        <v>29577</v>
      </c>
      <c r="V16" s="1297">
        <v>192078</v>
      </c>
      <c r="W16">
        <f t="shared" si="3"/>
        <v>514664</v>
      </c>
      <c r="X16" s="234">
        <f t="shared" si="11"/>
        <v>0.16167272710857117</v>
      </c>
      <c r="AA16" s="1297">
        <v>218204</v>
      </c>
      <c r="AB16" s="234">
        <f t="shared" si="12"/>
        <v>0.43313892391761244</v>
      </c>
      <c r="AE16">
        <v>4.5999999999999996</v>
      </c>
    </row>
    <row r="17" spans="3:31" x14ac:dyDescent="0.6">
      <c r="C17" t="s">
        <v>2012</v>
      </c>
      <c r="D17" s="1181">
        <v>58602</v>
      </c>
      <c r="E17" s="1181">
        <v>35751</v>
      </c>
      <c r="F17" s="1181">
        <v>299620</v>
      </c>
      <c r="G17">
        <f t="shared" si="4"/>
        <v>393973</v>
      </c>
      <c r="H17" s="1181">
        <v>22273</v>
      </c>
      <c r="I17" s="1181">
        <v>58602</v>
      </c>
      <c r="J17" s="1181">
        <v>35751</v>
      </c>
      <c r="K17">
        <f t="shared" si="5"/>
        <v>116626</v>
      </c>
      <c r="L17" s="1181">
        <v>58602</v>
      </c>
      <c r="M17" s="1181">
        <v>35751</v>
      </c>
      <c r="N17" s="1181">
        <v>299620</v>
      </c>
      <c r="O17">
        <f t="shared" si="9"/>
        <v>510599</v>
      </c>
      <c r="P17" s="234">
        <f t="shared" si="10"/>
        <v>0.44603416000430474</v>
      </c>
      <c r="T17" s="1297">
        <v>295027</v>
      </c>
      <c r="U17" s="1297">
        <v>29728</v>
      </c>
      <c r="V17" s="1297">
        <v>191573</v>
      </c>
      <c r="W17">
        <f t="shared" si="3"/>
        <v>516328</v>
      </c>
      <c r="X17" s="234">
        <f t="shared" si="11"/>
        <v>0.15562359555591376</v>
      </c>
      <c r="AA17" s="1297">
        <v>222083</v>
      </c>
      <c r="AB17" s="234">
        <f t="shared" si="12"/>
        <v>0.42301605100438922</v>
      </c>
      <c r="AE17">
        <v>4.7</v>
      </c>
    </row>
    <row r="18" spans="3:31" x14ac:dyDescent="0.6">
      <c r="C18" t="s">
        <v>2013</v>
      </c>
      <c r="D18" s="1181">
        <v>57324</v>
      </c>
      <c r="E18" s="1181">
        <v>37865</v>
      </c>
      <c r="F18" s="1181">
        <v>316208</v>
      </c>
      <c r="G18">
        <f t="shared" si="4"/>
        <v>411397</v>
      </c>
      <c r="H18" s="1181">
        <v>22529</v>
      </c>
      <c r="I18" s="1181">
        <v>57324</v>
      </c>
      <c r="J18" s="1181">
        <v>37865</v>
      </c>
      <c r="K18">
        <f t="shared" si="5"/>
        <v>117718</v>
      </c>
      <c r="L18" s="1181">
        <v>57324</v>
      </c>
      <c r="M18" s="1181">
        <v>37865</v>
      </c>
      <c r="N18" s="1181">
        <v>316208</v>
      </c>
      <c r="O18">
        <f t="shared" si="9"/>
        <v>529115</v>
      </c>
      <c r="P18" s="234">
        <f t="shared" si="10"/>
        <v>0.4908805554224982</v>
      </c>
      <c r="T18" s="1297">
        <v>297836</v>
      </c>
      <c r="U18" s="1297">
        <v>29893</v>
      </c>
      <c r="V18" s="1297">
        <v>193930</v>
      </c>
      <c r="W18">
        <f t="shared" si="3"/>
        <v>521659</v>
      </c>
      <c r="X18" s="234">
        <f t="shared" si="11"/>
        <v>0.15560335565563554</v>
      </c>
      <c r="AA18" s="1297">
        <v>227149</v>
      </c>
      <c r="AB18" s="234">
        <f t="shared" si="12"/>
        <v>0.40814327603201273</v>
      </c>
      <c r="AE18">
        <v>4.9000000000000004</v>
      </c>
    </row>
    <row r="19" spans="3:31" x14ac:dyDescent="0.6">
      <c r="C19" t="s">
        <v>2014</v>
      </c>
      <c r="D19" s="1181">
        <v>60540</v>
      </c>
      <c r="E19" s="1181">
        <v>39199</v>
      </c>
      <c r="F19" s="1181">
        <v>319858</v>
      </c>
      <c r="G19">
        <f t="shared" si="4"/>
        <v>419597</v>
      </c>
      <c r="H19" s="1181">
        <v>22748</v>
      </c>
      <c r="I19" s="1181">
        <v>60540</v>
      </c>
      <c r="J19" s="1181">
        <v>39199</v>
      </c>
      <c r="K19">
        <f t="shared" si="5"/>
        <v>122487</v>
      </c>
      <c r="L19" s="1181">
        <v>60540</v>
      </c>
      <c r="M19" s="1181">
        <v>39199</v>
      </c>
      <c r="N19" s="1181">
        <v>319858</v>
      </c>
      <c r="O19">
        <f t="shared" si="9"/>
        <v>542084</v>
      </c>
      <c r="P19" s="234">
        <f t="shared" si="10"/>
        <v>0.51145685208420466</v>
      </c>
      <c r="T19" s="1297">
        <v>301059</v>
      </c>
      <c r="U19" s="1297">
        <v>30287</v>
      </c>
      <c r="V19" s="1297">
        <v>204059</v>
      </c>
      <c r="W19">
        <f t="shared" si="3"/>
        <v>535405</v>
      </c>
      <c r="X19" s="234">
        <f t="shared" si="11"/>
        <v>0.16094835194143697</v>
      </c>
      <c r="AA19" s="1297">
        <v>230301</v>
      </c>
      <c r="AB19" s="234">
        <f t="shared" si="12"/>
        <v>0.39602592002133741</v>
      </c>
      <c r="AE19">
        <v>5</v>
      </c>
    </row>
    <row r="20" spans="3:31" x14ac:dyDescent="0.6">
      <c r="C20" t="s">
        <v>2015</v>
      </c>
      <c r="D20" s="1181">
        <v>62813</v>
      </c>
      <c r="E20" s="1181">
        <v>40116</v>
      </c>
      <c r="F20" s="1181">
        <v>332337</v>
      </c>
      <c r="G20">
        <f t="shared" si="4"/>
        <v>435266</v>
      </c>
      <c r="H20" s="1181">
        <v>22973</v>
      </c>
      <c r="I20" s="1181">
        <v>62813</v>
      </c>
      <c r="J20" s="1181">
        <v>40116</v>
      </c>
      <c r="K20">
        <f t="shared" si="5"/>
        <v>125902</v>
      </c>
      <c r="L20" s="1181">
        <v>62813</v>
      </c>
      <c r="M20" s="1181">
        <v>40116</v>
      </c>
      <c r="N20" s="1181">
        <v>332337</v>
      </c>
      <c r="O20">
        <f t="shared" si="9"/>
        <v>561168</v>
      </c>
      <c r="P20" s="234">
        <f t="shared" si="10"/>
        <v>0.4986179988623527</v>
      </c>
      <c r="T20" s="1297">
        <v>304191</v>
      </c>
      <c r="U20" s="1297">
        <v>30676</v>
      </c>
      <c r="V20" s="1297">
        <v>208836</v>
      </c>
      <c r="W20">
        <f t="shared" si="3"/>
        <v>543703</v>
      </c>
      <c r="X20" s="234">
        <f t="shared" si="11"/>
        <v>0.1574428679389881</v>
      </c>
      <c r="AA20" s="1297">
        <v>234183</v>
      </c>
      <c r="AB20" s="234">
        <f t="shared" si="12"/>
        <v>0.39257871733119254</v>
      </c>
      <c r="AE20">
        <v>5.3</v>
      </c>
    </row>
    <row r="21" spans="3:31" x14ac:dyDescent="0.6">
      <c r="C21" t="s">
        <v>2016</v>
      </c>
      <c r="D21" s="1181">
        <v>64726</v>
      </c>
      <c r="E21" s="1181">
        <v>41332</v>
      </c>
      <c r="F21" s="1181">
        <v>336018</v>
      </c>
      <c r="G21">
        <f t="shared" si="4"/>
        <v>442076</v>
      </c>
      <c r="H21" s="1181">
        <v>23106</v>
      </c>
      <c r="I21" s="1181">
        <v>64726</v>
      </c>
      <c r="J21" s="1181">
        <v>41332</v>
      </c>
      <c r="K21">
        <f t="shared" si="5"/>
        <v>129164</v>
      </c>
      <c r="L21" s="1181">
        <v>64726</v>
      </c>
      <c r="M21" s="1181">
        <v>41332</v>
      </c>
      <c r="N21" s="1181">
        <v>336018</v>
      </c>
      <c r="O21">
        <f t="shared" si="9"/>
        <v>571240</v>
      </c>
      <c r="P21" s="234">
        <f t="shared" si="10"/>
        <v>0.4851791475897429</v>
      </c>
      <c r="T21" s="1297">
        <v>306296</v>
      </c>
      <c r="U21" s="1297">
        <v>31173</v>
      </c>
      <c r="V21" s="1297">
        <v>211707</v>
      </c>
      <c r="W21">
        <f t="shared" si="3"/>
        <v>549176</v>
      </c>
      <c r="X21" s="234">
        <f t="shared" si="11"/>
        <v>0.14938227421039296</v>
      </c>
      <c r="AA21" s="1297">
        <v>237065</v>
      </c>
      <c r="AB21" s="234">
        <f t="shared" si="12"/>
        <v>0.37217392310987107</v>
      </c>
      <c r="AE21">
        <v>5.2</v>
      </c>
    </row>
    <row r="22" spans="3:31" x14ac:dyDescent="0.6">
      <c r="C22" t="s">
        <v>2017</v>
      </c>
      <c r="D22" s="1181">
        <v>67055</v>
      </c>
      <c r="E22" s="1181">
        <v>42645</v>
      </c>
      <c r="F22" s="1181">
        <v>339908</v>
      </c>
      <c r="G22">
        <f t="shared" si="4"/>
        <v>449608</v>
      </c>
      <c r="H22" s="1181">
        <v>23526</v>
      </c>
      <c r="I22" s="1181">
        <v>67055</v>
      </c>
      <c r="J22" s="1181">
        <v>42645</v>
      </c>
      <c r="K22">
        <f t="shared" si="5"/>
        <v>133226</v>
      </c>
      <c r="L22" s="1181">
        <v>67055</v>
      </c>
      <c r="M22" s="1181">
        <v>42645</v>
      </c>
      <c r="N22" s="1181">
        <v>339908</v>
      </c>
      <c r="O22">
        <f t="shared" si="9"/>
        <v>582834</v>
      </c>
      <c r="P22" s="234">
        <f t="shared" si="10"/>
        <v>0.4723719012648826</v>
      </c>
      <c r="T22" s="1297">
        <v>309350</v>
      </c>
      <c r="U22" s="1297">
        <v>31658</v>
      </c>
      <c r="V22" s="1297">
        <v>214350</v>
      </c>
      <c r="W22">
        <f t="shared" si="3"/>
        <v>555358</v>
      </c>
      <c r="X22" s="234">
        <f t="shared" si="11"/>
        <v>0.14720633923849813</v>
      </c>
      <c r="AA22" s="1297">
        <v>239494</v>
      </c>
      <c r="AB22" s="234">
        <f t="shared" si="12"/>
        <v>0.34644770648391243</v>
      </c>
      <c r="AE22">
        <v>5.5</v>
      </c>
    </row>
    <row r="23" spans="3:31" x14ac:dyDescent="0.6">
      <c r="C23" t="s">
        <v>2018</v>
      </c>
      <c r="D23" s="1181">
        <v>70466</v>
      </c>
      <c r="E23" s="1181">
        <v>42884</v>
      </c>
      <c r="F23" s="1181">
        <v>345642</v>
      </c>
      <c r="G23">
        <f t="shared" si="4"/>
        <v>458992</v>
      </c>
      <c r="H23" s="1181">
        <v>23577</v>
      </c>
      <c r="I23" s="1181">
        <v>70466</v>
      </c>
      <c r="J23" s="1181">
        <v>42884</v>
      </c>
      <c r="K23">
        <f t="shared" si="5"/>
        <v>136927</v>
      </c>
      <c r="L23" s="1181">
        <v>70466</v>
      </c>
      <c r="M23" s="1181">
        <v>42884</v>
      </c>
      <c r="N23" s="1181">
        <v>345642</v>
      </c>
      <c r="O23">
        <f t="shared" si="9"/>
        <v>595919</v>
      </c>
      <c r="P23" s="234">
        <f t="shared" si="10"/>
        <v>0.45084238204216787</v>
      </c>
      <c r="T23" s="1297">
        <v>310709</v>
      </c>
      <c r="U23" s="1297">
        <v>32540</v>
      </c>
      <c r="V23" s="1297">
        <v>216587</v>
      </c>
      <c r="W23">
        <f t="shared" si="3"/>
        <v>559836</v>
      </c>
      <c r="X23" s="234">
        <f t="shared" si="11"/>
        <v>0.13832227210618786</v>
      </c>
      <c r="AA23" s="1297">
        <v>241682</v>
      </c>
      <c r="AB23" s="234">
        <f t="shared" si="12"/>
        <v>0.30254492147499801</v>
      </c>
      <c r="AE23">
        <v>5.6</v>
      </c>
    </row>
    <row r="24" spans="3:31" x14ac:dyDescent="0.6">
      <c r="C24" t="s">
        <v>2019</v>
      </c>
      <c r="D24" s="1181">
        <v>74115</v>
      </c>
      <c r="E24" s="1181">
        <v>44313</v>
      </c>
      <c r="F24" s="1181">
        <v>343638</v>
      </c>
      <c r="G24">
        <f t="shared" si="4"/>
        <v>462066</v>
      </c>
      <c r="H24" s="1181">
        <v>23725</v>
      </c>
      <c r="I24" s="1181">
        <v>74115</v>
      </c>
      <c r="J24" s="1181">
        <v>44313</v>
      </c>
      <c r="K24">
        <f t="shared" si="5"/>
        <v>142153</v>
      </c>
      <c r="L24" s="1181">
        <v>74115</v>
      </c>
      <c r="M24" s="1181">
        <v>44313</v>
      </c>
      <c r="N24" s="1181">
        <v>343638</v>
      </c>
      <c r="O24">
        <f t="shared" si="9"/>
        <v>604219</v>
      </c>
      <c r="P24" s="234">
        <f t="shared" si="10"/>
        <v>0.42169176470588243</v>
      </c>
      <c r="T24" s="1297">
        <v>314219</v>
      </c>
      <c r="U24" s="1297">
        <v>32830</v>
      </c>
      <c r="V24" s="1297">
        <v>218503</v>
      </c>
      <c r="W24">
        <f t="shared" si="3"/>
        <v>565552</v>
      </c>
      <c r="X24" s="234">
        <f t="shared" si="11"/>
        <v>0.1341457789792222</v>
      </c>
      <c r="AA24" s="1297">
        <v>244167</v>
      </c>
      <c r="AB24" s="234">
        <f t="shared" si="12"/>
        <v>0.26472081218274113</v>
      </c>
      <c r="AE24">
        <v>5.7</v>
      </c>
    </row>
    <row r="25" spans="3:31" x14ac:dyDescent="0.6">
      <c r="C25" t="s">
        <v>2020</v>
      </c>
      <c r="D25" s="1181">
        <v>76644</v>
      </c>
      <c r="E25" s="1181">
        <v>45910</v>
      </c>
      <c r="F25" s="1181">
        <v>348633</v>
      </c>
      <c r="G25">
        <f t="shared" si="4"/>
        <v>471187</v>
      </c>
      <c r="H25" s="1181">
        <v>23873</v>
      </c>
      <c r="I25" s="1181">
        <v>76644</v>
      </c>
      <c r="J25" s="1181">
        <v>45910</v>
      </c>
      <c r="K25">
        <f t="shared" si="5"/>
        <v>146427</v>
      </c>
      <c r="L25" s="1181">
        <v>76644</v>
      </c>
      <c r="M25" s="1181">
        <v>45910</v>
      </c>
      <c r="N25" s="1181">
        <v>348633</v>
      </c>
      <c r="O25">
        <f t="shared" si="9"/>
        <v>617614</v>
      </c>
      <c r="P25" s="234">
        <f t="shared" si="10"/>
        <v>0.38826163283380133</v>
      </c>
      <c r="T25" s="1297">
        <v>318056</v>
      </c>
      <c r="U25" s="1297">
        <v>41147</v>
      </c>
      <c r="V25" s="1297">
        <v>221477</v>
      </c>
      <c r="W25">
        <f t="shared" si="3"/>
        <v>580680</v>
      </c>
      <c r="X25" s="234">
        <f t="shared" si="11"/>
        <v>0.15204228202299808</v>
      </c>
      <c r="AA25" s="1297">
        <v>247144</v>
      </c>
      <c r="AB25" s="234">
        <f t="shared" si="12"/>
        <v>0.22520164388722819</v>
      </c>
      <c r="AE25">
        <v>5.8</v>
      </c>
    </row>
    <row r="26" spans="3:31" x14ac:dyDescent="0.6">
      <c r="C26" t="s">
        <v>2021</v>
      </c>
      <c r="D26" s="1181">
        <v>79481</v>
      </c>
      <c r="E26" s="1181">
        <v>46570</v>
      </c>
      <c r="F26" s="1181">
        <v>361137</v>
      </c>
      <c r="G26">
        <f t="shared" si="4"/>
        <v>487188</v>
      </c>
      <c r="H26" s="1181">
        <v>24159</v>
      </c>
      <c r="I26" s="1181">
        <v>79481</v>
      </c>
      <c r="J26" s="1181">
        <v>46570</v>
      </c>
      <c r="K26">
        <f t="shared" si="5"/>
        <v>150210</v>
      </c>
      <c r="L26" s="1181">
        <v>79481</v>
      </c>
      <c r="M26" s="1181">
        <v>46570</v>
      </c>
      <c r="N26" s="1181">
        <v>361137</v>
      </c>
      <c r="O26">
        <f t="shared" si="9"/>
        <v>637398</v>
      </c>
      <c r="P26" s="234">
        <f t="shared" si="10"/>
        <v>0.32692283671761468</v>
      </c>
      <c r="T26" s="1297">
        <v>318060</v>
      </c>
      <c r="U26" s="1297">
        <v>41552</v>
      </c>
      <c r="V26" s="1297">
        <v>224606</v>
      </c>
      <c r="W26">
        <f t="shared" si="3"/>
        <v>584218</v>
      </c>
      <c r="X26" s="234">
        <f t="shared" si="11"/>
        <v>0.14568723427621144</v>
      </c>
      <c r="AA26" s="1297">
        <v>248657</v>
      </c>
      <c r="AB26" s="234">
        <f t="shared" si="12"/>
        <v>0.20949179913224514</v>
      </c>
      <c r="AE26">
        <v>5.8</v>
      </c>
    </row>
    <row r="27" spans="3:31" x14ac:dyDescent="0.6">
      <c r="C27" t="s">
        <v>2022</v>
      </c>
      <c r="D27" s="1181">
        <v>78443</v>
      </c>
      <c r="E27" s="1181">
        <v>46819</v>
      </c>
      <c r="F27" s="1181">
        <v>370051</v>
      </c>
      <c r="G27">
        <f t="shared" si="4"/>
        <v>495313</v>
      </c>
      <c r="H27" s="1181">
        <v>24474</v>
      </c>
      <c r="I27" s="1181">
        <v>78443</v>
      </c>
      <c r="J27" s="1181">
        <v>46819</v>
      </c>
      <c r="K27">
        <f t="shared" si="5"/>
        <v>149736</v>
      </c>
      <c r="L27" s="1181">
        <v>78443</v>
      </c>
      <c r="M27" s="1181">
        <v>46819</v>
      </c>
      <c r="N27" s="1181">
        <v>370051</v>
      </c>
      <c r="O27">
        <f t="shared" si="9"/>
        <v>645049</v>
      </c>
      <c r="P27" s="234">
        <f t="shared" si="10"/>
        <v>0.29967923532279972</v>
      </c>
      <c r="T27" s="1297">
        <v>321347</v>
      </c>
      <c r="U27" s="1297">
        <v>41596</v>
      </c>
      <c r="V27" s="1297">
        <v>224883</v>
      </c>
      <c r="W27">
        <f t="shared" si="3"/>
        <v>587826</v>
      </c>
      <c r="X27" s="234">
        <f t="shared" si="11"/>
        <v>0.14446086362282351</v>
      </c>
      <c r="AA27" s="1297">
        <v>250006</v>
      </c>
      <c r="AB27" s="234">
        <f t="shared" si="12"/>
        <v>0.18671856457967428</v>
      </c>
      <c r="AE27">
        <v>5.9</v>
      </c>
    </row>
    <row r="28" spans="3:31" x14ac:dyDescent="0.6">
      <c r="C28" t="s">
        <v>2023</v>
      </c>
      <c r="D28" s="1181">
        <v>81033</v>
      </c>
      <c r="E28" s="1181">
        <v>48186</v>
      </c>
      <c r="F28" s="1181">
        <v>367667</v>
      </c>
      <c r="G28">
        <f t="shared" si="4"/>
        <v>496886</v>
      </c>
      <c r="H28" s="1181">
        <v>24611</v>
      </c>
      <c r="I28" s="1181">
        <v>81033</v>
      </c>
      <c r="J28" s="1181">
        <v>48186</v>
      </c>
      <c r="K28">
        <f t="shared" si="5"/>
        <v>153830</v>
      </c>
      <c r="L28" s="1181">
        <v>81033</v>
      </c>
      <c r="M28" s="1181">
        <v>48186</v>
      </c>
      <c r="N28" s="1181">
        <v>367667</v>
      </c>
      <c r="O28">
        <f t="shared" si="9"/>
        <v>650716</v>
      </c>
      <c r="P28" s="234">
        <f t="shared" si="10"/>
        <v>0.29615406066497219</v>
      </c>
      <c r="T28" s="1297">
        <v>324722</v>
      </c>
      <c r="U28" s="1297">
        <v>41807</v>
      </c>
      <c r="V28" s="1297">
        <v>230516</v>
      </c>
      <c r="W28">
        <f t="shared" si="3"/>
        <v>597045</v>
      </c>
      <c r="X28" s="234">
        <f t="shared" si="11"/>
        <v>0.16006753921004768</v>
      </c>
      <c r="AA28" s="1297">
        <v>253435</v>
      </c>
      <c r="AB28" s="234">
        <f t="shared" si="12"/>
        <v>0.16145900166816363</v>
      </c>
      <c r="AE28">
        <v>6.1</v>
      </c>
    </row>
    <row r="29" spans="3:31" x14ac:dyDescent="0.6">
      <c r="C29" t="s">
        <v>2024</v>
      </c>
      <c r="D29" s="1181">
        <v>84718</v>
      </c>
      <c r="E29" s="1181">
        <v>49336</v>
      </c>
      <c r="F29" s="1181">
        <v>354662</v>
      </c>
      <c r="G29">
        <f t="shared" si="4"/>
        <v>488716</v>
      </c>
      <c r="H29" s="1181">
        <v>24486</v>
      </c>
      <c r="I29" s="1181">
        <v>84718</v>
      </c>
      <c r="J29" s="1181">
        <v>49336</v>
      </c>
      <c r="K29">
        <f t="shared" si="5"/>
        <v>158540</v>
      </c>
      <c r="L29" s="1181">
        <v>84718</v>
      </c>
      <c r="M29" s="1181">
        <v>49336</v>
      </c>
      <c r="N29" s="1181">
        <v>354662</v>
      </c>
      <c r="O29">
        <f t="shared" si="9"/>
        <v>647256</v>
      </c>
      <c r="P29" s="234">
        <f t="shared" si="10"/>
        <v>0.26764055550441745</v>
      </c>
      <c r="T29" s="1297">
        <v>327868</v>
      </c>
      <c r="U29" s="1297">
        <v>41579</v>
      </c>
      <c r="V29" s="1297">
        <v>233105</v>
      </c>
      <c r="W29">
        <f t="shared" si="3"/>
        <v>602552</v>
      </c>
      <c r="X29" s="234">
        <f t="shared" si="11"/>
        <v>0.16699462357261274</v>
      </c>
      <c r="AA29" s="1297">
        <v>254496</v>
      </c>
      <c r="AB29" s="234">
        <f t="shared" si="12"/>
        <v>0.14594993763592901</v>
      </c>
      <c r="AE29">
        <v>6.1</v>
      </c>
    </row>
    <row r="30" spans="3:31" x14ac:dyDescent="0.6">
      <c r="C30" t="s">
        <v>2025</v>
      </c>
      <c r="D30" s="1181">
        <v>71954</v>
      </c>
      <c r="E30" s="1181">
        <v>62381</v>
      </c>
      <c r="F30" s="1181">
        <v>365641</v>
      </c>
      <c r="G30">
        <f t="shared" si="4"/>
        <v>499976</v>
      </c>
      <c r="H30" s="1181">
        <v>24398</v>
      </c>
      <c r="I30" s="1181">
        <v>71954</v>
      </c>
      <c r="J30" s="1181">
        <v>62381</v>
      </c>
      <c r="K30">
        <f t="shared" si="5"/>
        <v>158733</v>
      </c>
      <c r="L30" s="1181">
        <v>71954</v>
      </c>
      <c r="M30" s="1181">
        <v>62381</v>
      </c>
      <c r="N30" s="1181">
        <v>365641</v>
      </c>
      <c r="O30">
        <f t="shared" si="9"/>
        <v>658709</v>
      </c>
      <c r="P30" s="234">
        <f t="shared" si="10"/>
        <v>0.24492596127495903</v>
      </c>
      <c r="T30" s="1297">
        <v>329350</v>
      </c>
      <c r="U30" s="1297">
        <v>41748</v>
      </c>
      <c r="V30" s="1297">
        <v>234526</v>
      </c>
      <c r="W30">
        <f t="shared" si="3"/>
        <v>605624</v>
      </c>
      <c r="X30" s="234">
        <f t="shared" si="11"/>
        <v>0.16095763707709443</v>
      </c>
      <c r="AA30" s="1297">
        <v>253549</v>
      </c>
      <c r="AB30" s="234">
        <f t="shared" si="12"/>
        <v>0.11622327194924909</v>
      </c>
      <c r="AE30">
        <v>6</v>
      </c>
    </row>
    <row r="31" spans="3:31" x14ac:dyDescent="0.6">
      <c r="C31" t="s">
        <v>2026</v>
      </c>
      <c r="D31" s="1181">
        <v>73860</v>
      </c>
      <c r="E31" s="1181">
        <v>63235</v>
      </c>
      <c r="F31" s="1181">
        <v>360332</v>
      </c>
      <c r="G31">
        <f t="shared" si="4"/>
        <v>497427</v>
      </c>
      <c r="H31" s="1181">
        <v>24092</v>
      </c>
      <c r="I31" s="1181">
        <v>73860</v>
      </c>
      <c r="J31" s="1181">
        <v>63235</v>
      </c>
      <c r="K31">
        <f t="shared" si="5"/>
        <v>161187</v>
      </c>
      <c r="L31" s="1181">
        <v>73860</v>
      </c>
      <c r="M31" s="1181">
        <v>63235</v>
      </c>
      <c r="N31" s="1181">
        <v>360332</v>
      </c>
      <c r="O31">
        <f t="shared" si="9"/>
        <v>658614</v>
      </c>
      <c r="P31" s="234">
        <f t="shared" si="10"/>
        <v>0.21496668413013476</v>
      </c>
      <c r="T31" s="1297">
        <v>331489</v>
      </c>
      <c r="U31" s="1297">
        <v>41663</v>
      </c>
      <c r="V31" s="1297">
        <v>236710</v>
      </c>
      <c r="W31">
        <f t="shared" si="3"/>
        <v>609862</v>
      </c>
      <c r="X31" s="234">
        <f t="shared" si="11"/>
        <v>0.13906668783444309</v>
      </c>
      <c r="AA31" s="1297">
        <v>258477</v>
      </c>
      <c r="AB31" s="234">
        <f t="shared" si="12"/>
        <v>0.12234423645576875</v>
      </c>
      <c r="AE31">
        <v>6.2</v>
      </c>
    </row>
    <row r="32" spans="3:31" x14ac:dyDescent="0.6">
      <c r="C32" t="s">
        <v>2027</v>
      </c>
      <c r="D32" s="1181">
        <v>73141</v>
      </c>
      <c r="E32" s="1181">
        <v>64548</v>
      </c>
      <c r="F32" s="1181">
        <v>371905</v>
      </c>
      <c r="G32">
        <f t="shared" si="4"/>
        <v>509594</v>
      </c>
      <c r="H32" s="1181">
        <v>23875</v>
      </c>
      <c r="I32" s="1181">
        <v>73141</v>
      </c>
      <c r="J32" s="1181">
        <v>64548</v>
      </c>
      <c r="K32">
        <f t="shared" si="5"/>
        <v>161564</v>
      </c>
      <c r="L32" s="1181">
        <v>73141</v>
      </c>
      <c r="M32" s="1181">
        <v>64548</v>
      </c>
      <c r="N32" s="1181">
        <v>371905</v>
      </c>
      <c r="O32">
        <f t="shared" si="9"/>
        <v>671158</v>
      </c>
      <c r="P32" s="234">
        <f t="shared" si="10"/>
        <v>0.19600191030137148</v>
      </c>
      <c r="T32" s="1297">
        <v>333570</v>
      </c>
      <c r="U32" s="1297">
        <v>41590</v>
      </c>
      <c r="V32" s="1297">
        <v>237732</v>
      </c>
      <c r="W32">
        <f t="shared" si="3"/>
        <v>612892</v>
      </c>
      <c r="X32" s="234">
        <f t="shared" si="11"/>
        <v>0.12725513745555928</v>
      </c>
      <c r="AA32" s="1297">
        <v>261365</v>
      </c>
      <c r="AB32" s="234">
        <f t="shared" si="12"/>
        <v>0.11607161920378517</v>
      </c>
      <c r="AE32">
        <v>6.3</v>
      </c>
    </row>
    <row r="33" spans="3:31" x14ac:dyDescent="0.6">
      <c r="C33" t="s">
        <v>2028</v>
      </c>
      <c r="D33" s="1181">
        <v>77589</v>
      </c>
      <c r="E33" s="1181">
        <v>58167</v>
      </c>
      <c r="F33" s="1181">
        <v>369473</v>
      </c>
      <c r="G33">
        <f t="shared" si="4"/>
        <v>505229</v>
      </c>
      <c r="H33" s="1181">
        <v>23793</v>
      </c>
      <c r="I33" s="1181">
        <v>77589</v>
      </c>
      <c r="J33" s="1181">
        <v>58167</v>
      </c>
      <c r="K33">
        <f t="shared" si="5"/>
        <v>159549</v>
      </c>
      <c r="L33" s="1181">
        <v>77589</v>
      </c>
      <c r="M33" s="1181">
        <v>58167</v>
      </c>
      <c r="N33" s="1181">
        <v>369473</v>
      </c>
      <c r="O33">
        <f t="shared" si="9"/>
        <v>664778</v>
      </c>
      <c r="P33" s="234">
        <f t="shared" si="10"/>
        <v>0.1637455360268889</v>
      </c>
      <c r="T33" s="1297">
        <v>334672</v>
      </c>
      <c r="U33" s="1297">
        <v>41590</v>
      </c>
      <c r="V33" s="1297">
        <v>233285</v>
      </c>
      <c r="W33">
        <f t="shared" si="3"/>
        <v>609547</v>
      </c>
      <c r="X33" s="234">
        <f t="shared" si="11"/>
        <v>0.10993014989730066</v>
      </c>
      <c r="AA33" s="1297">
        <v>257222</v>
      </c>
      <c r="AB33" s="234">
        <f t="shared" si="12"/>
        <v>8.5027313184147912E-2</v>
      </c>
      <c r="AE33">
        <v>6.3</v>
      </c>
    </row>
    <row r="34" spans="3:31" x14ac:dyDescent="0.6">
      <c r="C34" t="s">
        <v>2029</v>
      </c>
      <c r="D34" s="1181">
        <v>76061</v>
      </c>
      <c r="E34" s="1181">
        <v>58584</v>
      </c>
      <c r="F34" s="1181">
        <v>377367</v>
      </c>
      <c r="G34">
        <f t="shared" si="4"/>
        <v>512012</v>
      </c>
      <c r="H34" s="1181">
        <v>23872</v>
      </c>
      <c r="I34" s="1181">
        <v>76061</v>
      </c>
      <c r="J34" s="1181">
        <v>58584</v>
      </c>
      <c r="K34">
        <f t="shared" si="5"/>
        <v>158517</v>
      </c>
      <c r="L34" s="1181">
        <v>76061</v>
      </c>
      <c r="M34" s="1181">
        <v>58584</v>
      </c>
      <c r="N34" s="1181">
        <v>377367</v>
      </c>
      <c r="O34">
        <f t="shared" si="9"/>
        <v>670529</v>
      </c>
      <c r="P34" s="234">
        <f t="shared" si="10"/>
        <v>0.15046308211257409</v>
      </c>
      <c r="T34" s="1297">
        <v>336040</v>
      </c>
      <c r="U34" s="1297">
        <v>41524</v>
      </c>
      <c r="V34" s="1297">
        <v>232709</v>
      </c>
      <c r="W34">
        <f t="shared" si="3"/>
        <v>610273</v>
      </c>
      <c r="X34" s="234">
        <f t="shared" si="11"/>
        <v>9.8882162496984005E-2</v>
      </c>
      <c r="AA34" s="1297">
        <v>256427</v>
      </c>
      <c r="AB34" s="234">
        <f t="shared" si="12"/>
        <v>7.0703232648834602E-2</v>
      </c>
      <c r="AE34">
        <v>6.2</v>
      </c>
    </row>
    <row r="35" spans="3:31" x14ac:dyDescent="0.6">
      <c r="C35" t="s">
        <v>2030</v>
      </c>
      <c r="D35" s="1181">
        <v>75619</v>
      </c>
      <c r="E35" s="1181">
        <v>59380</v>
      </c>
      <c r="F35" s="1181">
        <v>381718</v>
      </c>
      <c r="G35">
        <f t="shared" si="4"/>
        <v>516717</v>
      </c>
      <c r="H35" s="1181">
        <v>23866</v>
      </c>
      <c r="I35" s="1181">
        <v>75619</v>
      </c>
      <c r="J35" s="1181">
        <v>59380</v>
      </c>
      <c r="K35">
        <f t="shared" si="5"/>
        <v>158865</v>
      </c>
      <c r="L35" s="1181">
        <v>75619</v>
      </c>
      <c r="M35" s="1181">
        <v>59380</v>
      </c>
      <c r="N35" s="1181">
        <v>381718</v>
      </c>
      <c r="O35">
        <f t="shared" si="9"/>
        <v>675582</v>
      </c>
      <c r="P35" s="234">
        <f t="shared" si="10"/>
        <v>0.13368091972231122</v>
      </c>
      <c r="T35" s="1297">
        <v>339186</v>
      </c>
      <c r="U35" s="1297">
        <v>41801</v>
      </c>
      <c r="V35" s="1297">
        <v>234117</v>
      </c>
      <c r="W35">
        <f t="shared" si="3"/>
        <v>615104</v>
      </c>
      <c r="X35" s="234">
        <f t="shared" si="11"/>
        <v>9.8721768517923136E-2</v>
      </c>
      <c r="AA35" s="1297">
        <v>260119</v>
      </c>
      <c r="AB35" s="234">
        <f t="shared" si="12"/>
        <v>7.6286194255261064E-2</v>
      </c>
      <c r="AE35">
        <v>6.1</v>
      </c>
    </row>
    <row r="36" spans="3:31" x14ac:dyDescent="0.6">
      <c r="C36" t="s">
        <v>2347</v>
      </c>
      <c r="D36" s="1181">
        <v>73397</v>
      </c>
      <c r="E36" s="1181">
        <v>57535</v>
      </c>
      <c r="F36" s="1181">
        <v>378439</v>
      </c>
      <c r="G36">
        <f t="shared" si="4"/>
        <v>509371</v>
      </c>
      <c r="H36" s="1181">
        <v>23803</v>
      </c>
      <c r="I36" s="1181">
        <v>73397</v>
      </c>
      <c r="J36" s="1181">
        <v>57535</v>
      </c>
      <c r="K36">
        <f t="shared" si="5"/>
        <v>154735</v>
      </c>
      <c r="L36" s="1181">
        <v>73397</v>
      </c>
      <c r="M36" s="1181">
        <v>57535</v>
      </c>
      <c r="N36" s="1181">
        <v>378439</v>
      </c>
      <c r="O36">
        <f t="shared" si="9"/>
        <v>664106</v>
      </c>
      <c r="P36" s="234">
        <f t="shared" si="10"/>
        <v>9.9114724958996758E-2</v>
      </c>
      <c r="T36" s="1297">
        <v>340931</v>
      </c>
      <c r="U36" s="1297">
        <v>41792</v>
      </c>
      <c r="V36" s="1297">
        <v>236849</v>
      </c>
      <c r="W36">
        <f t="shared" si="3"/>
        <v>619572</v>
      </c>
      <c r="X36" s="234">
        <f t="shared" si="11"/>
        <v>9.5517299912298181E-2</v>
      </c>
      <c r="AA36" s="1297">
        <v>261197</v>
      </c>
      <c r="AB36" s="234">
        <f t="shared" si="12"/>
        <v>6.9747345054818943E-2</v>
      </c>
      <c r="AE36">
        <v>5.9</v>
      </c>
    </row>
    <row r="37" spans="3:31" x14ac:dyDescent="0.6">
      <c r="C37" t="s">
        <v>2348</v>
      </c>
      <c r="D37" s="1181">
        <v>65068</v>
      </c>
      <c r="E37" s="1181">
        <v>63422</v>
      </c>
      <c r="F37" s="1181">
        <v>386483</v>
      </c>
      <c r="G37">
        <f t="shared" si="4"/>
        <v>514973</v>
      </c>
      <c r="H37" s="1181">
        <v>23797</v>
      </c>
      <c r="I37" s="1181">
        <v>65068</v>
      </c>
      <c r="J37" s="1181">
        <v>63422</v>
      </c>
      <c r="K37">
        <f t="shared" si="5"/>
        <v>152287</v>
      </c>
      <c r="L37" s="1181">
        <v>65068</v>
      </c>
      <c r="M37" s="1181">
        <v>63422</v>
      </c>
      <c r="N37" s="1181">
        <v>386483</v>
      </c>
      <c r="O37">
        <f t="shared" si="9"/>
        <v>667260</v>
      </c>
      <c r="P37" s="234">
        <f t="shared" si="10"/>
        <v>8.0383540528550235E-2</v>
      </c>
      <c r="T37" s="1297">
        <v>342830</v>
      </c>
      <c r="U37" s="1297">
        <v>41532</v>
      </c>
      <c r="V37" s="1297">
        <v>239757</v>
      </c>
      <c r="W37">
        <f t="shared" si="3"/>
        <v>624119</v>
      </c>
      <c r="X37" s="234">
        <f t="shared" si="11"/>
        <v>7.4807122683750116E-2</v>
      </c>
      <c r="AA37" s="1297">
        <v>264564</v>
      </c>
      <c r="AB37" s="234">
        <f t="shared" si="12"/>
        <v>7.0485223189719282E-2</v>
      </c>
      <c r="AE37">
        <v>5.9</v>
      </c>
    </row>
    <row r="38" spans="3:31" x14ac:dyDescent="0.6">
      <c r="C38" t="s">
        <v>2349</v>
      </c>
      <c r="D38" s="1181">
        <v>63984</v>
      </c>
      <c r="E38" s="1181">
        <v>66856</v>
      </c>
      <c r="F38" s="1181">
        <v>404452</v>
      </c>
      <c r="G38">
        <f t="shared" si="4"/>
        <v>535292</v>
      </c>
      <c r="H38" s="1181">
        <v>23965</v>
      </c>
      <c r="I38" s="1181">
        <v>63984</v>
      </c>
      <c r="J38" s="1181">
        <v>66856</v>
      </c>
      <c r="K38">
        <f t="shared" si="5"/>
        <v>154805</v>
      </c>
      <c r="L38" s="1181">
        <v>63984</v>
      </c>
      <c r="M38" s="1181">
        <v>66856</v>
      </c>
      <c r="N38" s="1181">
        <v>404452</v>
      </c>
      <c r="O38">
        <f t="shared" si="9"/>
        <v>690097</v>
      </c>
      <c r="P38" s="234">
        <f>O38/O26-1</f>
        <v>8.2678326571467231E-2</v>
      </c>
      <c r="T38" s="1297">
        <v>340400</v>
      </c>
      <c r="U38" s="1297">
        <v>41854</v>
      </c>
      <c r="V38" s="1297">
        <v>242927</v>
      </c>
      <c r="W38">
        <f>T38+U38+V38</f>
        <v>625181</v>
      </c>
      <c r="X38" s="234">
        <f>W38/W26-1</f>
        <v>7.0115949868028826E-2</v>
      </c>
      <c r="AA38" s="1297">
        <v>266737</v>
      </c>
      <c r="AB38" s="234">
        <f>AA38/AA26-1</f>
        <v>7.2710601350454596E-2</v>
      </c>
      <c r="AE38">
        <v>5.7</v>
      </c>
    </row>
    <row r="39" spans="3:31" x14ac:dyDescent="0.6">
      <c r="C39" t="s">
        <v>2350</v>
      </c>
      <c r="D39" s="1181">
        <v>62250</v>
      </c>
      <c r="E39" s="1181">
        <v>65992</v>
      </c>
      <c r="F39" s="1181">
        <v>413822</v>
      </c>
      <c r="G39">
        <f t="shared" si="4"/>
        <v>542064</v>
      </c>
      <c r="H39" s="1181">
        <v>24159</v>
      </c>
      <c r="I39" s="1181">
        <v>62250</v>
      </c>
      <c r="J39" s="1181">
        <v>65992</v>
      </c>
      <c r="K39">
        <f t="shared" si="5"/>
        <v>152401</v>
      </c>
      <c r="L39" s="1181">
        <v>62250</v>
      </c>
      <c r="M39" s="1181">
        <v>65992</v>
      </c>
      <c r="N39" s="1181">
        <v>413822</v>
      </c>
      <c r="O39">
        <f t="shared" si="9"/>
        <v>694465</v>
      </c>
      <c r="P39" s="234">
        <f t="shared" ref="P39:P46" si="13">O39/O27-1</f>
        <v>7.6608133645660992E-2</v>
      </c>
      <c r="T39" s="1297">
        <v>345993</v>
      </c>
      <c r="U39" s="1297">
        <v>41355</v>
      </c>
      <c r="V39" s="1297">
        <v>238619</v>
      </c>
      <c r="W39">
        <f t="shared" ref="W39:W46" si="14">T39+U39+V39</f>
        <v>625967</v>
      </c>
      <c r="X39" s="234">
        <f t="shared" ref="X39:X46" si="15">W39/W27-1</f>
        <v>6.4884846876456681E-2</v>
      </c>
      <c r="AA39" s="1297">
        <v>265344</v>
      </c>
      <c r="AB39" s="234">
        <f t="shared" ref="AB39:AB46" si="16">AA39/AA27-1</f>
        <v>6.1350527587337833E-2</v>
      </c>
      <c r="AE39">
        <v>5.7</v>
      </c>
    </row>
    <row r="40" spans="3:31" x14ac:dyDescent="0.6">
      <c r="C40" t="s">
        <v>2351</v>
      </c>
      <c r="D40" s="1181">
        <v>61262</v>
      </c>
      <c r="E40" s="1181">
        <v>67872</v>
      </c>
      <c r="F40" s="1181">
        <v>414875</v>
      </c>
      <c r="G40">
        <f t="shared" si="4"/>
        <v>544009</v>
      </c>
      <c r="H40" s="1181">
        <v>26980</v>
      </c>
      <c r="I40" s="1181">
        <v>61262</v>
      </c>
      <c r="J40" s="1181">
        <v>67872</v>
      </c>
      <c r="K40">
        <f t="shared" si="5"/>
        <v>156114</v>
      </c>
      <c r="L40" s="1181">
        <v>61262</v>
      </c>
      <c r="M40" s="1181">
        <v>67872</v>
      </c>
      <c r="N40" s="1181">
        <v>414875</v>
      </c>
      <c r="O40">
        <f t="shared" si="9"/>
        <v>700123</v>
      </c>
      <c r="P40" s="234">
        <f t="shared" si="13"/>
        <v>7.5927132573964773E-2</v>
      </c>
      <c r="T40" s="1297">
        <v>347482</v>
      </c>
      <c r="U40" s="1297">
        <v>41452</v>
      </c>
      <c r="V40" s="1297">
        <v>245196</v>
      </c>
      <c r="W40">
        <f t="shared" si="14"/>
        <v>634130</v>
      </c>
      <c r="X40" s="234">
        <f t="shared" si="15"/>
        <v>6.2114245994858042E-2</v>
      </c>
      <c r="AA40" s="1297">
        <v>275475</v>
      </c>
      <c r="AB40" s="234">
        <f t="shared" si="16"/>
        <v>8.6965099532424484E-2</v>
      </c>
      <c r="AE40">
        <v>5.7</v>
      </c>
    </row>
    <row r="41" spans="3:31" x14ac:dyDescent="0.6">
      <c r="C41" t="s">
        <v>2352</v>
      </c>
      <c r="D41" s="1181">
        <v>61664</v>
      </c>
      <c r="E41" s="1181">
        <v>69852</v>
      </c>
      <c r="F41" s="1181">
        <v>402277</v>
      </c>
      <c r="G41">
        <f t="shared" si="4"/>
        <v>533793</v>
      </c>
      <c r="H41" s="1181">
        <v>26968</v>
      </c>
      <c r="I41" s="1181">
        <v>61664</v>
      </c>
      <c r="J41" s="1181">
        <v>69852</v>
      </c>
      <c r="K41">
        <f t="shared" si="5"/>
        <v>158484</v>
      </c>
      <c r="L41" s="1181">
        <v>61664</v>
      </c>
      <c r="M41" s="1181">
        <v>69852</v>
      </c>
      <c r="N41" s="1181">
        <v>402277</v>
      </c>
      <c r="O41">
        <f t="shared" si="9"/>
        <v>692277</v>
      </c>
      <c r="P41" s="234">
        <f t="shared" si="13"/>
        <v>6.9556713263376535E-2</v>
      </c>
      <c r="T41" s="1297">
        <v>349387</v>
      </c>
      <c r="U41" s="1297">
        <v>41068</v>
      </c>
      <c r="V41" s="1297">
        <v>250176</v>
      </c>
      <c r="W41">
        <f t="shared" si="14"/>
        <v>640631</v>
      </c>
      <c r="X41" s="234">
        <f t="shared" si="15"/>
        <v>6.3196205472722644E-2</v>
      </c>
      <c r="AA41" s="1297">
        <v>280755</v>
      </c>
      <c r="AB41" s="234">
        <f t="shared" si="16"/>
        <v>0.1031804036212749</v>
      </c>
      <c r="AE41">
        <v>5.7</v>
      </c>
    </row>
    <row r="42" spans="3:31" x14ac:dyDescent="0.6">
      <c r="C42" t="s">
        <v>2353</v>
      </c>
      <c r="D42" s="1181">
        <v>61518</v>
      </c>
      <c r="E42" s="1181">
        <v>71256</v>
      </c>
      <c r="F42" s="1181">
        <v>403469</v>
      </c>
      <c r="G42">
        <f t="shared" si="4"/>
        <v>536243</v>
      </c>
      <c r="H42" s="1181">
        <v>26989</v>
      </c>
      <c r="I42" s="1181">
        <v>61518</v>
      </c>
      <c r="J42" s="1181">
        <v>71256</v>
      </c>
      <c r="K42">
        <f t="shared" si="5"/>
        <v>159763</v>
      </c>
      <c r="L42" s="1181">
        <v>61518</v>
      </c>
      <c r="M42" s="1181">
        <v>71256</v>
      </c>
      <c r="N42" s="1181">
        <v>403469</v>
      </c>
      <c r="O42">
        <f t="shared" si="9"/>
        <v>696006</v>
      </c>
      <c r="P42" s="234">
        <f t="shared" si="13"/>
        <v>5.6621360874073323E-2</v>
      </c>
      <c r="T42" s="1297">
        <v>351134</v>
      </c>
      <c r="U42" s="1297">
        <v>41315</v>
      </c>
      <c r="V42" s="1297">
        <v>253264</v>
      </c>
      <c r="W42">
        <f t="shared" si="14"/>
        <v>645713</v>
      </c>
      <c r="X42" s="234">
        <f t="shared" si="15"/>
        <v>6.6194536544126326E-2</v>
      </c>
      <c r="AA42" s="1297">
        <v>287134</v>
      </c>
      <c r="AB42" s="234">
        <f t="shared" si="16"/>
        <v>0.13245960346915187</v>
      </c>
      <c r="AE42">
        <v>5.7</v>
      </c>
    </row>
    <row r="43" spans="3:31" x14ac:dyDescent="0.6">
      <c r="C43" t="s">
        <v>2354</v>
      </c>
      <c r="D43" s="1181">
        <v>62292</v>
      </c>
      <c r="E43" s="1181">
        <v>73178</v>
      </c>
      <c r="F43" s="1181">
        <v>407465</v>
      </c>
      <c r="G43">
        <f t="shared" si="4"/>
        <v>542935</v>
      </c>
      <c r="H43" s="1181">
        <v>26969</v>
      </c>
      <c r="I43" s="1181">
        <v>62292</v>
      </c>
      <c r="J43" s="1181">
        <v>73178</v>
      </c>
      <c r="K43">
        <f t="shared" si="5"/>
        <v>162439</v>
      </c>
      <c r="L43" s="1181">
        <v>62292</v>
      </c>
      <c r="M43" s="1181">
        <v>73178</v>
      </c>
      <c r="N43" s="1181">
        <v>407465</v>
      </c>
      <c r="O43">
        <f t="shared" si="9"/>
        <v>705374</v>
      </c>
      <c r="P43" s="234">
        <f t="shared" si="13"/>
        <v>7.0997579765993413E-2</v>
      </c>
      <c r="T43" s="1297">
        <v>353607</v>
      </c>
      <c r="U43" s="1297">
        <v>40583</v>
      </c>
      <c r="V43" s="1297">
        <v>255369</v>
      </c>
      <c r="W43">
        <f t="shared" si="14"/>
        <v>649559</v>
      </c>
      <c r="X43" s="234">
        <f t="shared" si="15"/>
        <v>6.5091774860542184E-2</v>
      </c>
      <c r="AA43" s="1297">
        <v>288995</v>
      </c>
      <c r="AB43" s="234">
        <f t="shared" si="16"/>
        <v>0.11806853220982916</v>
      </c>
      <c r="AE43">
        <v>5.7</v>
      </c>
    </row>
    <row r="44" spans="3:31" x14ac:dyDescent="0.6">
      <c r="C44" t="s">
        <v>2355</v>
      </c>
      <c r="D44" s="1181">
        <v>60890</v>
      </c>
      <c r="E44" s="1181">
        <v>72812</v>
      </c>
      <c r="F44" s="1181">
        <v>415734</v>
      </c>
      <c r="G44">
        <f t="shared" si="4"/>
        <v>549436</v>
      </c>
      <c r="H44" s="1181">
        <v>27061</v>
      </c>
      <c r="I44" s="1181">
        <v>60890</v>
      </c>
      <c r="J44" s="1181">
        <v>72812</v>
      </c>
      <c r="K44">
        <f t="shared" si="5"/>
        <v>160763</v>
      </c>
      <c r="L44" s="1181">
        <v>60890</v>
      </c>
      <c r="M44" s="1181">
        <v>72812</v>
      </c>
      <c r="N44" s="1181">
        <v>415734</v>
      </c>
      <c r="O44">
        <f t="shared" si="9"/>
        <v>710199</v>
      </c>
      <c r="P44" s="234">
        <f t="shared" si="13"/>
        <v>5.8169611328479975E-2</v>
      </c>
      <c r="T44" s="1297">
        <v>355311</v>
      </c>
      <c r="U44" s="1297">
        <v>40506</v>
      </c>
      <c r="V44" s="1297">
        <v>257561</v>
      </c>
      <c r="W44">
        <f t="shared" si="14"/>
        <v>653378</v>
      </c>
      <c r="X44" s="234">
        <f t="shared" si="15"/>
        <v>6.6057315155035434E-2</v>
      </c>
      <c r="AA44" s="1297">
        <v>293851</v>
      </c>
      <c r="AB44" s="234">
        <f t="shared" si="16"/>
        <v>0.12429361238115288</v>
      </c>
      <c r="AE44">
        <v>5.7</v>
      </c>
    </row>
    <row r="45" spans="3:31" x14ac:dyDescent="0.6">
      <c r="C45" t="s">
        <v>2356</v>
      </c>
      <c r="D45" s="1181">
        <v>62477</v>
      </c>
      <c r="E45" s="1181">
        <v>72462</v>
      </c>
      <c r="F45" s="1181">
        <v>416044</v>
      </c>
      <c r="G45">
        <f t="shared" si="4"/>
        <v>550983</v>
      </c>
      <c r="H45" s="1181">
        <v>26986</v>
      </c>
      <c r="I45" s="1181">
        <v>62477</v>
      </c>
      <c r="J45" s="1181">
        <v>72462</v>
      </c>
      <c r="K45">
        <f t="shared" si="5"/>
        <v>161925</v>
      </c>
      <c r="L45" s="1181">
        <v>62477</v>
      </c>
      <c r="M45" s="1181">
        <v>72462</v>
      </c>
      <c r="N45" s="1181">
        <v>416044</v>
      </c>
      <c r="O45">
        <f t="shared" si="9"/>
        <v>712908</v>
      </c>
      <c r="P45" s="234">
        <f t="shared" si="13"/>
        <v>7.240010951024245E-2</v>
      </c>
      <c r="T45" s="1297">
        <v>357181</v>
      </c>
      <c r="U45" s="1297">
        <v>40296</v>
      </c>
      <c r="V45" s="1297">
        <v>261025</v>
      </c>
      <c r="W45">
        <f t="shared" si="14"/>
        <v>658502</v>
      </c>
      <c r="X45" s="234">
        <f t="shared" si="15"/>
        <v>8.0313741188128285E-2</v>
      </c>
      <c r="AA45" s="1297">
        <v>296419</v>
      </c>
      <c r="AB45" s="234">
        <f t="shared" si="16"/>
        <v>0.15238587679125426</v>
      </c>
      <c r="AE45">
        <v>5.7</v>
      </c>
    </row>
    <row r="46" spans="3:31" x14ac:dyDescent="0.6">
      <c r="C46" t="s">
        <v>2357</v>
      </c>
      <c r="D46" s="1181">
        <v>58949</v>
      </c>
      <c r="E46" s="1181">
        <v>72813</v>
      </c>
      <c r="F46" s="1181">
        <v>424903</v>
      </c>
      <c r="G46">
        <f t="shared" si="4"/>
        <v>556665</v>
      </c>
      <c r="H46" s="1181">
        <v>27009</v>
      </c>
      <c r="I46" s="1181">
        <v>58949</v>
      </c>
      <c r="J46" s="1181">
        <v>72813</v>
      </c>
      <c r="K46">
        <f t="shared" si="5"/>
        <v>158771</v>
      </c>
      <c r="L46" s="1181">
        <v>58949</v>
      </c>
      <c r="M46" s="1181">
        <v>72813</v>
      </c>
      <c r="N46" s="1181">
        <v>424903</v>
      </c>
      <c r="O46">
        <f t="shared" si="9"/>
        <v>715436</v>
      </c>
      <c r="P46" s="234">
        <f t="shared" si="13"/>
        <v>6.6972494851080366E-2</v>
      </c>
      <c r="T46" s="1297">
        <v>359203</v>
      </c>
      <c r="U46" s="1297">
        <v>40305</v>
      </c>
      <c r="V46" s="1297">
        <v>263688</v>
      </c>
      <c r="W46">
        <f t="shared" si="14"/>
        <v>663196</v>
      </c>
      <c r="X46" s="234">
        <f t="shared" si="15"/>
        <v>8.6720205547353491E-2</v>
      </c>
      <c r="AA46" s="1297">
        <v>298320</v>
      </c>
      <c r="AB46" s="234">
        <f t="shared" si="16"/>
        <v>0.16337203180632298</v>
      </c>
      <c r="AE46">
        <v>5.7</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8BC27-598A-4EE4-8B71-8D6A8A71F873}">
  <dimension ref="B1:S72"/>
  <sheetViews>
    <sheetView zoomScale="66" zoomScaleNormal="80" workbookViewId="0">
      <selection activeCell="J16" sqref="J16"/>
    </sheetView>
  </sheetViews>
  <sheetFormatPr defaultColWidth="9" defaultRowHeight="14.1" x14ac:dyDescent="0.5"/>
  <cols>
    <col min="1" max="1" width="9" style="552"/>
    <col min="2" max="2" width="28.69921875" style="552" bestFit="1" customWidth="1"/>
    <col min="3" max="3" width="14.69921875" style="552" customWidth="1"/>
    <col min="4" max="15" width="8" style="552" customWidth="1"/>
    <col min="16" max="18" width="9" style="552"/>
    <col min="19" max="19" width="11.69921875" style="552" bestFit="1" customWidth="1"/>
    <col min="20" max="16384" width="9" style="552"/>
  </cols>
  <sheetData>
    <row r="1" spans="2:19" s="554" customFormat="1" ht="15.3" x14ac:dyDescent="0.55000000000000004"/>
    <row r="2" spans="2:19" s="554" customFormat="1" ht="15.3" x14ac:dyDescent="0.55000000000000004">
      <c r="B2" s="757" t="s">
        <v>156</v>
      </c>
      <c r="C2" s="758" t="s">
        <v>66</v>
      </c>
      <c r="D2" s="759" t="s">
        <v>67</v>
      </c>
      <c r="E2" s="759" t="s">
        <v>68</v>
      </c>
      <c r="F2" s="760"/>
      <c r="G2" s="759" t="s">
        <v>69</v>
      </c>
      <c r="H2" s="761" t="s">
        <v>70</v>
      </c>
      <c r="I2" s="563"/>
      <c r="J2" s="563"/>
      <c r="K2" s="563"/>
      <c r="L2" s="563"/>
      <c r="M2" s="563"/>
      <c r="N2" s="563"/>
      <c r="O2" s="563"/>
    </row>
    <row r="3" spans="2:19" s="554" customFormat="1" ht="15.3" x14ac:dyDescent="0.55000000000000004">
      <c r="B3" s="880" t="s">
        <v>132</v>
      </c>
      <c r="C3" s="881" t="s">
        <v>71</v>
      </c>
      <c r="D3" s="882"/>
      <c r="E3" s="883"/>
      <c r="F3" s="881"/>
      <c r="G3" s="884">
        <f>C72</f>
        <v>61339.179939185189</v>
      </c>
      <c r="H3" s="885">
        <f>G3/$G$4</f>
        <v>1</v>
      </c>
      <c r="I3" s="563"/>
      <c r="J3" s="563"/>
      <c r="K3" s="563"/>
      <c r="L3" s="563"/>
      <c r="M3" s="563"/>
      <c r="N3" s="563"/>
      <c r="O3" s="563"/>
    </row>
    <row r="4" spans="2:19" s="554" customFormat="1" ht="15.3" x14ac:dyDescent="0.55000000000000004">
      <c r="B4" s="762" t="s">
        <v>72</v>
      </c>
      <c r="C4" s="563"/>
      <c r="D4" s="563"/>
      <c r="E4" s="563"/>
      <c r="F4" s="563"/>
      <c r="G4" s="630">
        <f>G3</f>
        <v>61339.179939185189</v>
      </c>
      <c r="H4" s="763">
        <f>SUM(H3:H3)</f>
        <v>1</v>
      </c>
      <c r="I4" s="563"/>
      <c r="J4" s="563"/>
      <c r="K4" s="563"/>
      <c r="L4" s="563"/>
      <c r="M4" s="563"/>
      <c r="N4" s="563"/>
      <c r="O4" s="563"/>
    </row>
    <row r="5" spans="2:19" s="554" customFormat="1" ht="15.3" x14ac:dyDescent="0.55000000000000004">
      <c r="B5" s="886"/>
      <c r="C5" s="858"/>
      <c r="D5" s="858"/>
      <c r="E5" s="858"/>
      <c r="F5" s="858"/>
      <c r="G5" s="858"/>
      <c r="H5" s="887"/>
      <c r="I5" s="563"/>
      <c r="J5" s="563"/>
      <c r="K5" s="563"/>
      <c r="L5" s="563"/>
      <c r="M5" s="563"/>
      <c r="N5" s="563"/>
      <c r="O5" s="563"/>
    </row>
    <row r="6" spans="2:19" s="554" customFormat="1" ht="15.3" x14ac:dyDescent="0.55000000000000004">
      <c r="B6" s="762"/>
      <c r="C6" s="563"/>
      <c r="D6" s="563"/>
      <c r="E6" s="563"/>
      <c r="F6" s="563"/>
      <c r="G6" s="630"/>
      <c r="H6" s="764"/>
      <c r="I6" s="563"/>
      <c r="J6" s="563"/>
      <c r="K6" s="563"/>
      <c r="L6" s="563"/>
      <c r="M6" s="563"/>
      <c r="N6" s="563"/>
      <c r="O6" s="563"/>
    </row>
    <row r="7" spans="2:19" s="554" customFormat="1" ht="15.3" x14ac:dyDescent="0.55000000000000004">
      <c r="B7" s="886" t="s">
        <v>73</v>
      </c>
      <c r="C7" s="858"/>
      <c r="D7" s="858"/>
      <c r="E7" s="858"/>
      <c r="F7" s="858"/>
      <c r="G7" s="856">
        <f>H17</f>
        <v>4765</v>
      </c>
      <c r="H7" s="887"/>
      <c r="I7" s="563"/>
      <c r="J7" s="563"/>
      <c r="K7" s="563"/>
      <c r="L7" s="563"/>
      <c r="M7" s="563"/>
      <c r="N7" s="563"/>
      <c r="O7" s="563"/>
    </row>
    <row r="8" spans="2:19" s="554" customFormat="1" ht="15.3" x14ac:dyDescent="0.55000000000000004">
      <c r="B8" s="762" t="s">
        <v>74</v>
      </c>
      <c r="C8" s="563"/>
      <c r="D8" s="563"/>
      <c r="E8" s="563"/>
      <c r="F8" s="563"/>
      <c r="G8" s="630">
        <f>G6+G4</f>
        <v>61339.179939185189</v>
      </c>
      <c r="H8" s="764"/>
      <c r="I8" s="563"/>
      <c r="J8" s="563"/>
      <c r="K8" s="563"/>
      <c r="L8" s="563"/>
      <c r="M8" s="563"/>
      <c r="N8" s="563"/>
      <c r="O8" s="563"/>
    </row>
    <row r="9" spans="2:19" s="554" customFormat="1" ht="15.3" x14ac:dyDescent="0.55000000000000004">
      <c r="B9" s="888" t="s">
        <v>75</v>
      </c>
      <c r="C9" s="858"/>
      <c r="D9" s="858"/>
      <c r="E9" s="858"/>
      <c r="F9" s="858"/>
      <c r="G9" s="889">
        <f>G8/G7</f>
        <v>12.872860427950721</v>
      </c>
      <c r="H9" s="887"/>
      <c r="I9" s="563"/>
      <c r="J9" s="765"/>
      <c r="K9" s="563"/>
      <c r="L9" s="563"/>
      <c r="M9" s="563"/>
      <c r="N9" s="563"/>
      <c r="O9" s="563"/>
    </row>
    <row r="10" spans="2:19" s="554" customFormat="1" ht="15.3" x14ac:dyDescent="0.55000000000000004">
      <c r="B10" s="762" t="s">
        <v>76</v>
      </c>
      <c r="C10" s="563"/>
      <c r="D10" s="563"/>
      <c r="E10" s="563"/>
      <c r="F10" s="563"/>
      <c r="G10" s="766">
        <f>B14</f>
        <v>13.45</v>
      </c>
      <c r="H10" s="764"/>
      <c r="I10" s="563"/>
      <c r="J10" s="767"/>
      <c r="K10" s="563"/>
      <c r="L10" s="563"/>
      <c r="M10" s="563"/>
      <c r="N10" s="563"/>
      <c r="O10" s="563"/>
    </row>
    <row r="11" spans="2:19" s="554" customFormat="1" ht="15.3" x14ac:dyDescent="0.55000000000000004">
      <c r="B11" s="890" t="s">
        <v>77</v>
      </c>
      <c r="C11" s="866"/>
      <c r="D11" s="866"/>
      <c r="E11" s="866"/>
      <c r="F11" s="866"/>
      <c r="G11" s="891">
        <f>G9/G10-1</f>
        <v>-4.2910005356823655E-2</v>
      </c>
      <c r="H11" s="892"/>
      <c r="I11" s="563"/>
      <c r="J11" s="563"/>
      <c r="K11" s="563"/>
      <c r="L11" s="563"/>
      <c r="M11" s="563"/>
      <c r="N11" s="563"/>
      <c r="O11" s="563"/>
    </row>
    <row r="12" spans="2:19" s="554" customFormat="1" ht="15.3" x14ac:dyDescent="0.55000000000000004">
      <c r="B12" s="569"/>
      <c r="C12" s="563"/>
      <c r="D12" s="563"/>
      <c r="E12" s="563"/>
      <c r="F12" s="563"/>
      <c r="G12" s="768"/>
      <c r="H12" s="563"/>
      <c r="I12" s="563"/>
      <c r="J12" s="563"/>
      <c r="K12" s="563"/>
      <c r="L12" s="563"/>
      <c r="M12" s="563"/>
      <c r="N12" s="563"/>
      <c r="O12" s="563"/>
    </row>
    <row r="13" spans="2:19" s="554" customFormat="1" ht="15.3" x14ac:dyDescent="0.55000000000000004">
      <c r="B13" s="569" t="s">
        <v>370</v>
      </c>
      <c r="C13" s="569"/>
      <c r="D13" s="563"/>
      <c r="E13" s="563"/>
      <c r="F13" s="563"/>
      <c r="G13" s="768"/>
      <c r="H13" s="563"/>
      <c r="I13" s="563"/>
      <c r="J13" s="563"/>
      <c r="K13" s="563"/>
      <c r="L13" s="563"/>
      <c r="M13" s="563"/>
      <c r="N13" s="563"/>
      <c r="O13" s="563"/>
    </row>
    <row r="14" spans="2:19" s="554" customFormat="1" ht="15.3" x14ac:dyDescent="0.55000000000000004">
      <c r="B14" s="769">
        <v>13.45</v>
      </c>
      <c r="C14" s="700"/>
      <c r="D14" s="563"/>
      <c r="E14" s="563"/>
      <c r="F14" s="563"/>
      <c r="G14" s="768"/>
      <c r="H14" s="563"/>
      <c r="I14" s="563"/>
      <c r="J14" s="563"/>
      <c r="K14" s="563"/>
      <c r="L14" s="563"/>
      <c r="M14" s="563"/>
      <c r="N14" s="563"/>
      <c r="O14" s="563"/>
    </row>
    <row r="15" spans="2:19" s="554" customFormat="1" ht="15.3" x14ac:dyDescent="0.55000000000000004">
      <c r="B15" s="569"/>
      <c r="C15" s="563"/>
      <c r="D15" s="563"/>
      <c r="E15" s="563"/>
      <c r="F15" s="563"/>
      <c r="G15" s="770"/>
      <c r="H15" s="770"/>
      <c r="I15" s="563"/>
      <c r="J15" s="563"/>
      <c r="K15" s="563"/>
      <c r="L15" s="563"/>
      <c r="M15" s="563"/>
      <c r="N15" s="563"/>
      <c r="O15" s="563"/>
    </row>
    <row r="16" spans="2:19" ht="15.3" x14ac:dyDescent="0.55000000000000004">
      <c r="B16" s="569" t="s">
        <v>361</v>
      </c>
      <c r="C16" s="569"/>
      <c r="D16" s="569">
        <v>2019</v>
      </c>
      <c r="E16" s="569">
        <v>2020</v>
      </c>
      <c r="F16" s="569">
        <v>2021</v>
      </c>
      <c r="G16" s="569">
        <v>2022</v>
      </c>
      <c r="H16" s="569">
        <v>2023</v>
      </c>
      <c r="I16" s="569">
        <v>2024</v>
      </c>
      <c r="J16" s="569">
        <v>2025</v>
      </c>
      <c r="K16" s="569">
        <v>2026</v>
      </c>
      <c r="L16" s="569">
        <v>2027</v>
      </c>
      <c r="M16" s="569">
        <v>2028</v>
      </c>
      <c r="N16" s="569">
        <v>2029</v>
      </c>
      <c r="O16" s="569">
        <v>2030</v>
      </c>
      <c r="Q16" s="554"/>
      <c r="R16" s="554"/>
      <c r="S16" s="554"/>
    </row>
    <row r="17" spans="2:19" ht="15.3" x14ac:dyDescent="0.55000000000000004">
      <c r="B17" s="771" t="s">
        <v>73</v>
      </c>
      <c r="C17" s="771"/>
      <c r="D17" s="772">
        <f>Master!D70</f>
        <v>0</v>
      </c>
      <c r="E17" s="772">
        <f>Master!E70</f>
        <v>4311.3442110000005</v>
      </c>
      <c r="F17" s="772">
        <f>Master!F70</f>
        <v>4643.8673490000001</v>
      </c>
      <c r="G17" s="772">
        <f>Master!G70</f>
        <v>4693</v>
      </c>
      <c r="H17" s="772">
        <f>Master!H70</f>
        <v>4765</v>
      </c>
      <c r="I17" s="772">
        <f>Master!I70</f>
        <v>4765</v>
      </c>
      <c r="J17" s="772">
        <f>Master!J70</f>
        <v>4765</v>
      </c>
      <c r="K17" s="772">
        <f>Master!K70</f>
        <v>4765</v>
      </c>
      <c r="L17" s="772">
        <f>Master!L70</f>
        <v>4765</v>
      </c>
      <c r="M17" s="772">
        <f>Master!M70</f>
        <v>4765</v>
      </c>
      <c r="N17" s="772">
        <f>Master!N70</f>
        <v>4765</v>
      </c>
      <c r="O17" s="772">
        <f>Master!O70</f>
        <v>4765</v>
      </c>
      <c r="Q17" s="554"/>
      <c r="R17" s="554"/>
      <c r="S17" s="554"/>
    </row>
    <row r="18" spans="2:19" ht="15.3" x14ac:dyDescent="0.55000000000000004">
      <c r="B18" s="563" t="s">
        <v>78</v>
      </c>
      <c r="C18" s="563"/>
      <c r="D18" s="630">
        <f t="shared" ref="D18:O18" si="0">D17*$B$14</f>
        <v>0</v>
      </c>
      <c r="E18" s="630">
        <f t="shared" si="0"/>
        <v>57987.579637950003</v>
      </c>
      <c r="F18" s="630">
        <f t="shared" si="0"/>
        <v>62460.015844049994</v>
      </c>
      <c r="G18" s="630">
        <f t="shared" si="0"/>
        <v>63120.85</v>
      </c>
      <c r="H18" s="630">
        <f t="shared" si="0"/>
        <v>64089.25</v>
      </c>
      <c r="I18" s="630">
        <f t="shared" si="0"/>
        <v>64089.25</v>
      </c>
      <c r="J18" s="630">
        <f t="shared" si="0"/>
        <v>64089.25</v>
      </c>
      <c r="K18" s="630">
        <f t="shared" si="0"/>
        <v>64089.25</v>
      </c>
      <c r="L18" s="630">
        <f t="shared" si="0"/>
        <v>64089.25</v>
      </c>
      <c r="M18" s="630">
        <f t="shared" si="0"/>
        <v>64089.25</v>
      </c>
      <c r="N18" s="630">
        <f t="shared" si="0"/>
        <v>64089.25</v>
      </c>
      <c r="O18" s="630">
        <f t="shared" si="0"/>
        <v>64089.25</v>
      </c>
      <c r="Q18" s="554"/>
      <c r="R18" s="554"/>
      <c r="S18" s="554"/>
    </row>
    <row r="19" spans="2:19" ht="15.3" x14ac:dyDescent="0.55000000000000004">
      <c r="B19" s="563" t="s">
        <v>373</v>
      </c>
      <c r="C19" s="563"/>
      <c r="D19" s="630">
        <v>0</v>
      </c>
      <c r="E19" s="630">
        <v>0</v>
      </c>
      <c r="F19" s="630">
        <v>0</v>
      </c>
      <c r="G19" s="630">
        <v>0</v>
      </c>
      <c r="H19" s="630">
        <v>0</v>
      </c>
      <c r="I19" s="630">
        <v>0</v>
      </c>
      <c r="J19" s="630">
        <v>0</v>
      </c>
      <c r="K19" s="630">
        <v>0</v>
      </c>
      <c r="L19" s="630">
        <v>0</v>
      </c>
      <c r="M19" s="630">
        <v>0</v>
      </c>
      <c r="N19" s="630">
        <v>0</v>
      </c>
      <c r="O19" s="630">
        <v>0</v>
      </c>
      <c r="Q19" s="554"/>
      <c r="R19" s="554"/>
      <c r="S19" s="554"/>
    </row>
    <row r="20" spans="2:19" ht="15.3" x14ac:dyDescent="0.55000000000000004">
      <c r="B20" s="563" t="s">
        <v>79</v>
      </c>
      <c r="C20" s="563"/>
      <c r="D20" s="630">
        <v>0</v>
      </c>
      <c r="E20" s="630">
        <f>D20</f>
        <v>0</v>
      </c>
      <c r="F20" s="630">
        <f t="shared" ref="F20:O20" si="1">E20</f>
        <v>0</v>
      </c>
      <c r="G20" s="630">
        <f t="shared" si="1"/>
        <v>0</v>
      </c>
      <c r="H20" s="630">
        <f t="shared" si="1"/>
        <v>0</v>
      </c>
      <c r="I20" s="630">
        <f t="shared" si="1"/>
        <v>0</v>
      </c>
      <c r="J20" s="630">
        <f t="shared" si="1"/>
        <v>0</v>
      </c>
      <c r="K20" s="630">
        <f t="shared" si="1"/>
        <v>0</v>
      </c>
      <c r="L20" s="630">
        <f t="shared" si="1"/>
        <v>0</v>
      </c>
      <c r="M20" s="630">
        <f t="shared" si="1"/>
        <v>0</v>
      </c>
      <c r="N20" s="630">
        <f t="shared" si="1"/>
        <v>0</v>
      </c>
      <c r="O20" s="630">
        <f t="shared" si="1"/>
        <v>0</v>
      </c>
      <c r="Q20" s="554"/>
      <c r="R20" s="554"/>
      <c r="S20" s="554"/>
    </row>
    <row r="21" spans="2:19" ht="15.3" x14ac:dyDescent="0.55000000000000004">
      <c r="B21" s="563" t="s">
        <v>80</v>
      </c>
      <c r="C21" s="563"/>
      <c r="D21" s="630">
        <v>0</v>
      </c>
      <c r="E21" s="630">
        <f>D21</f>
        <v>0</v>
      </c>
      <c r="F21" s="630">
        <f>E21+Master!F167</f>
        <v>0</v>
      </c>
      <c r="G21" s="630">
        <f>F21+Master!G167</f>
        <v>0</v>
      </c>
      <c r="H21" s="630">
        <f>G21+Master!H167</f>
        <v>0</v>
      </c>
      <c r="I21" s="630">
        <f>H21+Master!I167</f>
        <v>0</v>
      </c>
      <c r="J21" s="630">
        <f>I21+Master!J167</f>
        <v>0</v>
      </c>
      <c r="K21" s="630">
        <f>J21+Master!K167</f>
        <v>0</v>
      </c>
      <c r="L21" s="630">
        <f>K21+Master!L167</f>
        <v>0</v>
      </c>
      <c r="M21" s="630">
        <f>L21+Master!M167</f>
        <v>0</v>
      </c>
      <c r="N21" s="630">
        <f>M21+Master!N167</f>
        <v>0</v>
      </c>
      <c r="O21" s="630">
        <f>N21+Master!O167</f>
        <v>0</v>
      </c>
      <c r="Q21" s="554"/>
      <c r="R21" s="554"/>
      <c r="S21" s="554"/>
    </row>
    <row r="22" spans="2:19" ht="15.3" x14ac:dyDescent="0.55000000000000004">
      <c r="B22" s="771" t="s">
        <v>81</v>
      </c>
      <c r="C22" s="771"/>
      <c r="D22" s="772">
        <f>D18+D19+D21</f>
        <v>0</v>
      </c>
      <c r="E22" s="772">
        <f t="shared" ref="E22:O22" si="2">E18+E19+E21</f>
        <v>57987.579637950003</v>
      </c>
      <c r="F22" s="772">
        <f t="shared" si="2"/>
        <v>62460.015844049994</v>
      </c>
      <c r="G22" s="772">
        <f t="shared" si="2"/>
        <v>63120.85</v>
      </c>
      <c r="H22" s="772">
        <f t="shared" si="2"/>
        <v>64089.25</v>
      </c>
      <c r="I22" s="772">
        <f t="shared" si="2"/>
        <v>64089.25</v>
      </c>
      <c r="J22" s="772">
        <f t="shared" si="2"/>
        <v>64089.25</v>
      </c>
      <c r="K22" s="772">
        <f t="shared" si="2"/>
        <v>64089.25</v>
      </c>
      <c r="L22" s="772">
        <f t="shared" si="2"/>
        <v>64089.25</v>
      </c>
      <c r="M22" s="772">
        <f t="shared" si="2"/>
        <v>64089.25</v>
      </c>
      <c r="N22" s="772">
        <f t="shared" si="2"/>
        <v>64089.25</v>
      </c>
      <c r="O22" s="772">
        <f t="shared" si="2"/>
        <v>64089.25</v>
      </c>
      <c r="Q22" s="554"/>
      <c r="R22" s="554"/>
      <c r="S22" s="554"/>
    </row>
    <row r="23" spans="2:19" ht="15.3" x14ac:dyDescent="0.55000000000000004">
      <c r="B23" s="563"/>
      <c r="C23" s="563"/>
      <c r="D23" s="630"/>
      <c r="E23" s="630"/>
      <c r="F23" s="630"/>
      <c r="G23" s="630"/>
      <c r="H23" s="630"/>
      <c r="I23" s="630"/>
      <c r="J23" s="630"/>
      <c r="K23" s="630"/>
      <c r="L23" s="630"/>
      <c r="M23" s="630"/>
      <c r="N23" s="630"/>
      <c r="O23" s="630"/>
      <c r="Q23" s="554"/>
      <c r="R23" s="554"/>
      <c r="S23" s="554"/>
    </row>
    <row r="24" spans="2:19" ht="15.3" x14ac:dyDescent="0.55000000000000004">
      <c r="B24" s="563" t="s">
        <v>82</v>
      </c>
      <c r="C24" s="563"/>
      <c r="D24" s="630">
        <f t="shared" ref="D24:O24" si="3">D17*$B$14</f>
        <v>0</v>
      </c>
      <c r="E24" s="630">
        <f t="shared" si="3"/>
        <v>57987.579637950003</v>
      </c>
      <c r="F24" s="630">
        <f t="shared" si="3"/>
        <v>62460.015844049994</v>
      </c>
      <c r="G24" s="630">
        <f t="shared" si="3"/>
        <v>63120.85</v>
      </c>
      <c r="H24" s="630">
        <f t="shared" si="3"/>
        <v>64089.25</v>
      </c>
      <c r="I24" s="630">
        <f t="shared" si="3"/>
        <v>64089.25</v>
      </c>
      <c r="J24" s="630">
        <f t="shared" si="3"/>
        <v>64089.25</v>
      </c>
      <c r="K24" s="630">
        <f t="shared" si="3"/>
        <v>64089.25</v>
      </c>
      <c r="L24" s="630">
        <f t="shared" si="3"/>
        <v>64089.25</v>
      </c>
      <c r="M24" s="630">
        <f t="shared" si="3"/>
        <v>64089.25</v>
      </c>
      <c r="N24" s="630">
        <f t="shared" si="3"/>
        <v>64089.25</v>
      </c>
      <c r="O24" s="630">
        <f t="shared" si="3"/>
        <v>64089.25</v>
      </c>
      <c r="Q24" s="554"/>
      <c r="R24" s="554"/>
      <c r="S24" s="554"/>
    </row>
    <row r="25" spans="2:19" ht="15.3" x14ac:dyDescent="0.55000000000000004">
      <c r="B25" s="563"/>
      <c r="C25" s="563"/>
      <c r="D25" s="630"/>
      <c r="E25" s="630"/>
      <c r="F25" s="630"/>
      <c r="G25" s="630"/>
      <c r="H25" s="630"/>
      <c r="I25" s="630"/>
      <c r="J25" s="630"/>
      <c r="K25" s="630"/>
      <c r="L25" s="630"/>
      <c r="M25" s="630"/>
      <c r="N25" s="630"/>
      <c r="O25" s="630"/>
      <c r="Q25" s="554"/>
      <c r="R25" s="554"/>
      <c r="S25" s="554"/>
    </row>
    <row r="26" spans="2:19" ht="15.3" x14ac:dyDescent="0.55000000000000004">
      <c r="B26" s="563" t="s">
        <v>83</v>
      </c>
      <c r="C26" s="563"/>
      <c r="D26" s="767">
        <f>D22/Master!D4</f>
        <v>0</v>
      </c>
      <c r="E26" s="767">
        <f>E22/Master!E4</f>
        <v>78.669895045380542</v>
      </c>
      <c r="F26" s="767">
        <f>F22/Master!F4</f>
        <v>36.80708844946183</v>
      </c>
      <c r="G26" s="767">
        <f>G22/Master!G4</f>
        <v>13.177160063805655</v>
      </c>
      <c r="H26" s="767">
        <f>H22/Master!H4</f>
        <v>7.9832149975087194</v>
      </c>
      <c r="I26" s="767">
        <f>I22/Master!I4</f>
        <v>5.3596812128902664</v>
      </c>
      <c r="J26" s="767">
        <f>J22/Master!J4</f>
        <v>4.2042649414410498</v>
      </c>
      <c r="K26" s="767">
        <f>K22/Master!K4</f>
        <v>3.4252391713990535</v>
      </c>
      <c r="L26" s="767">
        <f>L22/Master!L4</f>
        <v>2.93516577572086</v>
      </c>
      <c r="M26" s="767">
        <f>M22/Master!M4</f>
        <v>2.605749139423049</v>
      </c>
      <c r="N26" s="767">
        <f>N22/Master!N4</f>
        <v>2.3538229080526265</v>
      </c>
      <c r="O26" s="767">
        <f>O22/Master!O4</f>
        <v>2.1061972775085729</v>
      </c>
      <c r="Q26" s="773"/>
      <c r="R26" s="554"/>
    </row>
    <row r="27" spans="2:19" ht="15.3" x14ac:dyDescent="0.55000000000000004">
      <c r="B27" s="563" t="s">
        <v>536</v>
      </c>
      <c r="C27" s="563"/>
      <c r="D27" s="767"/>
      <c r="E27" s="767">
        <f>E22/Master!E15</f>
        <v>177.38629439568675</v>
      </c>
      <c r="F27" s="767">
        <f>F22/Master!F15</f>
        <v>85.345359479864541</v>
      </c>
      <c r="G27" s="767">
        <f>G22/Master!G15</f>
        <v>37.952110757101941</v>
      </c>
      <c r="H27" s="767">
        <f>H22/Master!H15</f>
        <v>18.353164375715924</v>
      </c>
      <c r="I27" s="767">
        <f>I22/Master!I15</f>
        <v>11.766567549302236</v>
      </c>
      <c r="J27" s="767">
        <f>J22/Master!J15</f>
        <v>8.8810515106410381</v>
      </c>
      <c r="K27" s="767">
        <f>K22/Master!K15</f>
        <v>7.0359233688192901</v>
      </c>
      <c r="L27" s="767">
        <f>L22/Master!L15</f>
        <v>5.7029354855453684</v>
      </c>
      <c r="M27" s="767">
        <f>M22/Master!M15</f>
        <v>4.9477169486512702</v>
      </c>
      <c r="N27" s="767">
        <f>N22/Master!N15</f>
        <v>4.4486458249691383</v>
      </c>
      <c r="O27" s="767">
        <f>O22/Master!O15</f>
        <v>3.873775548938176</v>
      </c>
      <c r="Q27" s="554"/>
      <c r="R27" s="554"/>
    </row>
    <row r="28" spans="2:19" ht="15.3" x14ac:dyDescent="0.55000000000000004">
      <c r="B28" s="563" t="s">
        <v>2159</v>
      </c>
      <c r="C28" s="563"/>
      <c r="D28" s="767"/>
      <c r="E28" s="767">
        <f>E22/Master!E47</f>
        <v>-630.29977867336993</v>
      </c>
      <c r="F28" s="767">
        <f>F22/Master!F47</f>
        <v>-364.77085256229901</v>
      </c>
      <c r="G28" s="767">
        <f>G22/Master!G47</f>
        <v>-205.05166829635951</v>
      </c>
      <c r="H28" s="767">
        <f>H22/Master!H47</f>
        <v>41.589390006489296</v>
      </c>
      <c r="I28" s="767">
        <f>I22/Master!I47</f>
        <v>22.461456896922524</v>
      </c>
      <c r="J28" s="767">
        <f>J22/Master!J47</f>
        <v>15.230428310320802</v>
      </c>
      <c r="K28" s="767">
        <f>K22/Master!K47</f>
        <v>11.409777690116575</v>
      </c>
      <c r="L28" s="767">
        <f>L22/Master!L47</f>
        <v>8.7793832324550927</v>
      </c>
      <c r="M28" s="767">
        <f>M22/Master!M47</f>
        <v>7.4070333642415571</v>
      </c>
      <c r="N28" s="767">
        <f>N22/Master!N47</f>
        <v>6.5497472801077281</v>
      </c>
      <c r="O28" s="767">
        <f>O22/Master!O47</f>
        <v>5.5529926124009883</v>
      </c>
      <c r="Q28" s="554"/>
      <c r="R28" s="554"/>
    </row>
    <row r="29" spans="2:19" ht="15.3" x14ac:dyDescent="0.55000000000000004">
      <c r="B29" s="563" t="s">
        <v>433</v>
      </c>
      <c r="C29" s="563"/>
      <c r="D29" s="767">
        <f>D18/(Master!D181-Master!D206)</f>
        <v>0</v>
      </c>
      <c r="E29" s="767">
        <f>E18/(Master!E181-Master!E206)</f>
        <v>124.48345894669821</v>
      </c>
      <c r="F29" s="767">
        <f>F18/(Master!F181-Master!F206)</f>
        <v>14.05960086231522</v>
      </c>
      <c r="G29" s="767">
        <f>G18/(Master!G181-Master!G206)</f>
        <v>12.910525454582647</v>
      </c>
      <c r="H29" s="767">
        <f>H18/(Master!H181-Master!H206)</f>
        <v>10.007221710413312</v>
      </c>
      <c r="I29" s="767">
        <f ca="1">I18/(Master!I181-Master!I206)</f>
        <v>7.6786665746916363</v>
      </c>
      <c r="J29" s="767">
        <f ca="1">J18/(Master!J181-Master!J206)</f>
        <v>5.7398089028853487</v>
      </c>
      <c r="K29" s="767">
        <f ca="1">K18/(Master!K181-Master!K206)</f>
        <v>4.2928884461950743</v>
      </c>
      <c r="L29" s="767">
        <f ca="1">L18/(Master!L181-Master!L206)</f>
        <v>3.9139520764928415</v>
      </c>
      <c r="M29" s="767">
        <f ca="1">M18/(Master!M181-Master!M206)</f>
        <v>3.5432398229183009</v>
      </c>
      <c r="N29" s="767">
        <f ca="1">N18/(Master!N181-Master!N206)</f>
        <v>3.2004326591080887</v>
      </c>
      <c r="O29" s="767">
        <f ca="1">O18/(Master!O181-Master!O206)</f>
        <v>2.872620509961501</v>
      </c>
      <c r="Q29" s="554"/>
      <c r="R29" s="554"/>
    </row>
    <row r="30" spans="2:19" ht="15.3" x14ac:dyDescent="0.55000000000000004">
      <c r="B30" s="563" t="s">
        <v>84</v>
      </c>
      <c r="C30" s="563"/>
      <c r="D30" s="630">
        <f>D18/Master!D62</f>
        <v>0</v>
      </c>
      <c r="E30" s="630">
        <f>E18/Master!E62</f>
        <v>-338.11999788892143</v>
      </c>
      <c r="F30" s="630">
        <f>F18/Master!F62</f>
        <v>-375.35879985724881</v>
      </c>
      <c r="G30" s="630">
        <f>G18/Master!G62</f>
        <v>-173.49043094420745</v>
      </c>
      <c r="H30" s="630">
        <f>H18/Master!H62</f>
        <v>62.041868344627296</v>
      </c>
      <c r="I30" s="630">
        <f>I18/Master!I62</f>
        <v>33.01324082405678</v>
      </c>
      <c r="J30" s="630">
        <f>J18/Master!J62</f>
        <v>22.731982552717618</v>
      </c>
      <c r="K30" s="630">
        <f>K18/Master!K62</f>
        <v>17.029518940472499</v>
      </c>
      <c r="L30" s="630">
        <f>L18/Master!L62</f>
        <v>13.302095806750142</v>
      </c>
      <c r="M30" s="630">
        <f>M18/Master!M62</f>
        <v>11.22277782460842</v>
      </c>
      <c r="N30" s="630">
        <f>N18/Master!N62</f>
        <v>9.9238595153147404</v>
      </c>
      <c r="O30" s="630">
        <f>O18/Master!O62</f>
        <v>8.4136251703045275</v>
      </c>
      <c r="Q30" s="773"/>
      <c r="R30" s="554"/>
    </row>
    <row r="31" spans="2:19" ht="15.3" x14ac:dyDescent="0.55000000000000004">
      <c r="B31" s="563" t="s">
        <v>1436</v>
      </c>
      <c r="C31" s="563"/>
      <c r="D31" s="630"/>
      <c r="E31" s="630"/>
      <c r="F31" s="630"/>
      <c r="G31" s="630">
        <f>G18/Master!G66</f>
        <v>294.95724299065421</v>
      </c>
      <c r="H31" s="630">
        <f>H18/Master!H66</f>
        <v>53.563936481404099</v>
      </c>
      <c r="I31" s="630">
        <f>I18/Master!I66</f>
        <v>29.310409925319526</v>
      </c>
      <c r="J31" s="630">
        <f>J18/Master!J66</f>
        <v>20.343015110962483</v>
      </c>
      <c r="K31" s="630">
        <f>K18/Master!K66</f>
        <v>15.589459761809669</v>
      </c>
      <c r="L31" s="630">
        <f>L18/Master!L66</f>
        <v>12.365267948943869</v>
      </c>
      <c r="M31" s="630">
        <f>M18/Master!M66</f>
        <v>10.516924272514309</v>
      </c>
      <c r="N31" s="630">
        <f>N18/Master!N66</f>
        <v>9.3417261004690921</v>
      </c>
      <c r="O31" s="630">
        <f>O18/Master!O66</f>
        <v>7.9714208425745214</v>
      </c>
      <c r="Q31" s="773"/>
      <c r="R31" s="554"/>
    </row>
    <row r="32" spans="2:19" ht="15.3" x14ac:dyDescent="0.55000000000000004">
      <c r="B32" s="563" t="s">
        <v>1085</v>
      </c>
      <c r="C32" s="563"/>
      <c r="D32" s="630"/>
      <c r="E32" s="701">
        <f>Master!E62/Master!E224</f>
        <v>-0.39146313627025781</v>
      </c>
      <c r="F32" s="701">
        <f>Master!F62/Master!F224</f>
        <v>-3.7456228316182068E-2</v>
      </c>
      <c r="G32" s="701">
        <f>Master!G62/Master!G224</f>
        <v>-7.440139564093283E-2</v>
      </c>
      <c r="H32" s="701">
        <f>Master!H62/Master!H224</f>
        <v>0.16127813468176219</v>
      </c>
      <c r="I32" s="701">
        <f>Master!I62/Master!I224</f>
        <v>0.23259354074369407</v>
      </c>
      <c r="J32" s="701">
        <f>Master!J62/Master!J224</f>
        <v>0.25249926571842951</v>
      </c>
      <c r="K32" s="701">
        <f>Master!K62/Master!K224</f>
        <v>0.2520851270785201</v>
      </c>
      <c r="L32" s="701">
        <f>Master!L62/Master!L224</f>
        <v>0.29423574550611098</v>
      </c>
      <c r="M32" s="701">
        <f>Master!M62/Master!M224</f>
        <v>0.31571861069449003</v>
      </c>
      <c r="N32" s="701">
        <f>Master!N62/Master!N224</f>
        <v>0.32249878730841608</v>
      </c>
      <c r="O32" s="701">
        <f>Master!O62/Master!O224</f>
        <v>0.34142482601914248</v>
      </c>
      <c r="Q32" s="554"/>
      <c r="R32" s="554"/>
    </row>
    <row r="33" spans="2:18" ht="15.3" x14ac:dyDescent="0.55000000000000004">
      <c r="B33" s="563" t="s">
        <v>2374</v>
      </c>
      <c r="C33" s="563"/>
      <c r="D33" s="630"/>
      <c r="E33" s="701"/>
      <c r="F33" s="701"/>
      <c r="G33" s="701">
        <f>Master!G66/Master!G224</f>
        <v>4.3762038394849337E-2</v>
      </c>
      <c r="H33" s="701">
        <f>Master!H66/Master!H224</f>
        <v>0.18680473199102463</v>
      </c>
      <c r="I33" s="701">
        <f>Master!I66/Master!I224</f>
        <v>0.26197745423063801</v>
      </c>
      <c r="J33" s="701">
        <f>Master!J66/Master!J224</f>
        <v>0.28215133654363117</v>
      </c>
      <c r="K33" s="701">
        <f>Master!K66/Master!K224</f>
        <v>0.27537121310076396</v>
      </c>
      <c r="L33" s="701">
        <f>Master!L66/Master!L224</f>
        <v>0.31652788218205463</v>
      </c>
      <c r="M33" s="701">
        <f>Master!M66/Master!M224</f>
        <v>0.33690837084169756</v>
      </c>
      <c r="N33" s="701">
        <f>Master!N66/Master!N224</f>
        <v>0.34259542879847232</v>
      </c>
      <c r="O33" s="701">
        <f>Master!O66/Master!O224</f>
        <v>0.36036492950154342</v>
      </c>
      <c r="Q33" s="554"/>
      <c r="R33" s="554"/>
    </row>
    <row r="34" spans="2:18" ht="15.3" x14ac:dyDescent="0.55000000000000004">
      <c r="B34" s="563" t="s">
        <v>1086</v>
      </c>
      <c r="C34" s="563"/>
      <c r="D34" s="630"/>
      <c r="E34" s="701">
        <f>Master!E62/Master!E181</f>
        <v>-1.6843406906516287E-2</v>
      </c>
      <c r="F34" s="701">
        <f>Master!F62/Master!F181</f>
        <v>-8.3792589801012125E-3</v>
      </c>
      <c r="G34" s="701">
        <f>Master!G62/Master!G181</f>
        <v>-1.216286509923745E-2</v>
      </c>
      <c r="H34" s="701">
        <f>Master!H62/Master!H181</f>
        <v>2.3833529831134941E-2</v>
      </c>
      <c r="I34" s="701">
        <f ca="1">Master!I62/Master!I181</f>
        <v>4.1191956690181886E-2</v>
      </c>
      <c r="J34" s="701">
        <f ca="1">Master!J62/Master!J181</f>
        <v>4.6580231206080784E-2</v>
      </c>
      <c r="K34" s="701">
        <f ca="1">Master!K62/Master!K181</f>
        <v>5.1218825528012019E-2</v>
      </c>
      <c r="L34" s="701">
        <f ca="1">Master!L62/Master!L181</f>
        <v>5.6631601436123537E-2</v>
      </c>
      <c r="M34" s="701">
        <f ca="1">Master!M62/Master!M181</f>
        <v>5.8701045725048952E-2</v>
      </c>
      <c r="N34" s="701">
        <f ca="1">Master!N62/Master!N181</f>
        <v>5.8926649502662361E-2</v>
      </c>
      <c r="O34" s="701">
        <f ca="1">Master!O62/Master!O181</f>
        <v>6.2022177635391931E-2</v>
      </c>
      <c r="Q34" s="554"/>
      <c r="R34" s="554"/>
    </row>
    <row r="35" spans="2:18" ht="15.3" x14ac:dyDescent="0.55000000000000004">
      <c r="B35" s="563"/>
      <c r="C35" s="563"/>
      <c r="D35" s="630"/>
      <c r="E35" s="630"/>
      <c r="F35" s="630"/>
      <c r="G35" s="630"/>
      <c r="H35" s="630"/>
      <c r="I35" s="630"/>
      <c r="J35" s="630"/>
      <c r="K35" s="630"/>
      <c r="L35" s="630"/>
      <c r="M35" s="630"/>
      <c r="N35" s="630"/>
      <c r="O35" s="630"/>
      <c r="Q35" s="554"/>
      <c r="R35" s="554"/>
    </row>
    <row r="36" spans="2:18" ht="15.3" x14ac:dyDescent="0.55000000000000004">
      <c r="B36" s="563"/>
      <c r="C36" s="563"/>
      <c r="D36" s="630"/>
      <c r="E36" s="630"/>
      <c r="F36" s="630"/>
      <c r="G36" s="630"/>
      <c r="H36" s="630"/>
      <c r="I36" s="630"/>
      <c r="J36" s="630"/>
      <c r="K36" s="630"/>
      <c r="L36" s="630"/>
      <c r="M36" s="630"/>
      <c r="N36" s="630"/>
      <c r="O36" s="630"/>
      <c r="Q36" s="554"/>
      <c r="R36" s="554"/>
    </row>
    <row r="37" spans="2:18" x14ac:dyDescent="0.5">
      <c r="B37" s="592" t="s">
        <v>71</v>
      </c>
      <c r="C37" s="592"/>
      <c r="D37" s="592">
        <v>2019</v>
      </c>
      <c r="E37" s="592">
        <v>2020</v>
      </c>
      <c r="F37" s="592">
        <v>2021</v>
      </c>
      <c r="G37" s="592">
        <v>2022</v>
      </c>
      <c r="H37" s="592">
        <v>2023</v>
      </c>
      <c r="I37" s="592">
        <v>2024</v>
      </c>
      <c r="J37" s="592">
        <v>2025</v>
      </c>
      <c r="K37" s="592">
        <v>2026</v>
      </c>
      <c r="L37" s="592">
        <v>2027</v>
      </c>
      <c r="M37" s="592">
        <v>2028</v>
      </c>
      <c r="N37" s="592">
        <v>2029</v>
      </c>
      <c r="O37" s="592">
        <v>2030</v>
      </c>
      <c r="P37" s="606"/>
      <c r="Q37" s="606"/>
      <c r="R37" s="606"/>
    </row>
    <row r="38" spans="2:18" x14ac:dyDescent="0.5">
      <c r="B38" s="563" t="s">
        <v>383</v>
      </c>
      <c r="C38" s="563"/>
      <c r="D38" s="563"/>
      <c r="E38" s="651">
        <f>Master!E62+Master!E125+Master!E149+Master!E150</f>
        <v>-172.05799999999994</v>
      </c>
      <c r="F38" s="651">
        <f>Master!F62+Master!F125+Master!F149+Master!F150</f>
        <v>-177.55982999999975</v>
      </c>
      <c r="G38" s="651">
        <f>Master!G62+Master!G125+Master!G149+Master!G150</f>
        <v>-428.88443888679194</v>
      </c>
      <c r="H38" s="651">
        <f>Master!H62+Master!H125+Master!H149+Master!H150</f>
        <v>938.0277473636811</v>
      </c>
      <c r="I38" s="651">
        <f>Master!I62+Master!I125+Master!I149+Master!I150</f>
        <v>1824.3462071823299</v>
      </c>
      <c r="J38" s="651">
        <f>Master!J62+Master!J125+Master!J149+Master!J150</f>
        <v>2670.2227722308444</v>
      </c>
      <c r="K38" s="651">
        <f>Master!K62+Master!K125+Master!K149+Master!K150</f>
        <v>3580.3856950624668</v>
      </c>
      <c r="L38" s="651">
        <f>Master!L62+Master!L125+Master!L149+Master!L150</f>
        <v>4604.3853225710473</v>
      </c>
      <c r="M38" s="651">
        <f>Master!M62+Master!M125+Master!M149+Master!M150</f>
        <v>5470.0418379190523</v>
      </c>
      <c r="N38" s="651">
        <f>Master!N62+Master!N125+Master!N149+Master!N150</f>
        <v>6191.7476371287667</v>
      </c>
      <c r="O38" s="651">
        <f>Master!O62+Master!O125+Master!O149+Master!O150</f>
        <v>7319.6526386934056</v>
      </c>
      <c r="P38" s="606"/>
      <c r="Q38" s="606"/>
      <c r="R38" s="606"/>
    </row>
    <row r="39" spans="2:18" x14ac:dyDescent="0.5">
      <c r="B39" s="563"/>
      <c r="C39" s="563"/>
      <c r="D39" s="563"/>
      <c r="E39" s="650"/>
      <c r="F39" s="650"/>
      <c r="G39" s="650"/>
      <c r="H39" s="650"/>
      <c r="I39" s="650"/>
      <c r="J39" s="650"/>
      <c r="K39" s="650"/>
      <c r="L39" s="650"/>
      <c r="M39" s="650"/>
      <c r="N39" s="650"/>
      <c r="O39" s="650"/>
      <c r="P39" s="606"/>
      <c r="Q39" s="606"/>
      <c r="R39" s="606"/>
    </row>
    <row r="40" spans="2:18" x14ac:dyDescent="0.5">
      <c r="B40" s="563" t="s">
        <v>71</v>
      </c>
      <c r="C40" s="563"/>
      <c r="D40" s="563"/>
      <c r="E40" s="563"/>
      <c r="F40" s="563"/>
      <c r="G40" s="563"/>
      <c r="H40" s="563"/>
      <c r="I40" s="563"/>
      <c r="J40" s="563"/>
      <c r="K40" s="563"/>
      <c r="L40" s="563"/>
      <c r="M40" s="563"/>
      <c r="N40" s="563"/>
      <c r="O40" s="563"/>
      <c r="P40" s="606"/>
      <c r="Q40" s="606"/>
      <c r="R40" s="606"/>
    </row>
    <row r="41" spans="2:18" x14ac:dyDescent="0.5">
      <c r="B41" s="563"/>
      <c r="C41" s="563"/>
      <c r="D41" s="563"/>
      <c r="E41" s="563"/>
      <c r="F41" s="563"/>
      <c r="G41" s="563"/>
      <c r="H41" s="563"/>
      <c r="I41" s="563"/>
      <c r="J41" s="563"/>
      <c r="K41" s="563"/>
      <c r="L41" s="563"/>
      <c r="M41" s="563"/>
      <c r="N41" s="563"/>
      <c r="O41" s="563"/>
      <c r="P41" s="606"/>
      <c r="Q41" s="606"/>
      <c r="R41" s="606"/>
    </row>
    <row r="42" spans="2:18" x14ac:dyDescent="0.5">
      <c r="B42" s="563" t="s">
        <v>85</v>
      </c>
      <c r="C42" s="774">
        <v>0.12</v>
      </c>
      <c r="D42" s="563"/>
      <c r="E42" s="563"/>
      <c r="F42" s="563"/>
      <c r="G42" s="563"/>
      <c r="H42" s="563"/>
      <c r="I42" s="563"/>
      <c r="J42" s="563"/>
      <c r="K42" s="563"/>
      <c r="L42" s="563"/>
      <c r="M42" s="563"/>
      <c r="N42" s="563"/>
      <c r="O42" s="563"/>
      <c r="P42" s="606"/>
      <c r="Q42" s="606"/>
      <c r="R42" s="606"/>
    </row>
    <row r="43" spans="2:18" x14ac:dyDescent="0.5">
      <c r="B43" s="563" t="s">
        <v>378</v>
      </c>
      <c r="C43" s="774">
        <v>4.4999999999999998E-2</v>
      </c>
      <c r="D43" s="563"/>
      <c r="E43" s="563"/>
      <c r="F43" s="563"/>
      <c r="G43" s="563"/>
      <c r="H43" s="563"/>
      <c r="I43" s="563"/>
      <c r="J43" s="563"/>
      <c r="K43" s="563"/>
      <c r="L43" s="563"/>
      <c r="M43" s="563"/>
      <c r="N43" s="563"/>
      <c r="O43" s="563"/>
      <c r="P43" s="606"/>
      <c r="Q43" s="606"/>
      <c r="R43" s="606"/>
    </row>
    <row r="44" spans="2:18" x14ac:dyDescent="0.5">
      <c r="B44" s="563" t="s">
        <v>379</v>
      </c>
      <c r="C44" s="695">
        <f>1/(C42-C43)</f>
        <v>13.333333333333334</v>
      </c>
      <c r="D44" s="563"/>
      <c r="E44" s="563"/>
      <c r="F44" s="563"/>
      <c r="G44" s="563"/>
      <c r="H44" s="563"/>
      <c r="I44" s="563"/>
      <c r="J44" s="563"/>
      <c r="K44" s="563"/>
      <c r="L44" s="563"/>
      <c r="M44" s="563"/>
      <c r="N44" s="563"/>
      <c r="O44" s="563"/>
    </row>
    <row r="45" spans="2:18" x14ac:dyDescent="0.5">
      <c r="B45" s="563"/>
      <c r="C45" s="563"/>
      <c r="D45" s="563"/>
      <c r="E45" s="563"/>
      <c r="F45" s="563"/>
      <c r="G45" s="563"/>
      <c r="H45" s="563"/>
      <c r="I45" s="563"/>
      <c r="J45" s="563"/>
      <c r="K45" s="563"/>
      <c r="L45" s="563"/>
      <c r="M45" s="563"/>
      <c r="N45" s="563"/>
      <c r="O45" s="563"/>
    </row>
    <row r="46" spans="2:18" x14ac:dyDescent="0.5">
      <c r="B46" s="563" t="s">
        <v>380</v>
      </c>
      <c r="C46" s="630">
        <f>NPV(C42,J38:O38)</f>
        <v>19213.737750246375</v>
      </c>
      <c r="D46" s="563"/>
      <c r="E46" s="563"/>
      <c r="F46" s="563"/>
      <c r="G46" s="563"/>
      <c r="H46" s="563"/>
      <c r="I46" s="563"/>
      <c r="J46" s="563"/>
      <c r="K46" s="563"/>
      <c r="L46" s="563"/>
      <c r="M46" s="563"/>
      <c r="N46" s="563"/>
      <c r="O46" s="563"/>
    </row>
    <row r="47" spans="2:18" x14ac:dyDescent="0.5">
      <c r="B47" s="563" t="s">
        <v>86</v>
      </c>
      <c r="C47" s="630">
        <f>C44*O38</f>
        <v>97595.36851591208</v>
      </c>
      <c r="D47" s="563"/>
      <c r="E47" s="563"/>
      <c r="F47" s="563"/>
      <c r="G47" s="563"/>
      <c r="H47" s="563"/>
      <c r="I47" s="563"/>
      <c r="J47" s="563"/>
      <c r="K47" s="563"/>
      <c r="L47" s="563"/>
      <c r="M47" s="563"/>
      <c r="N47" s="563"/>
      <c r="O47" s="563"/>
    </row>
    <row r="48" spans="2:18" x14ac:dyDescent="0.5">
      <c r="B48" s="563" t="s">
        <v>381</v>
      </c>
      <c r="C48" s="630">
        <f>C47/(1+C42)^(O37-I37+1)</f>
        <v>44147.188368687785</v>
      </c>
      <c r="D48" s="566">
        <f>C48/C49</f>
        <v>0.69675730884708875</v>
      </c>
      <c r="E48" s="563"/>
      <c r="F48" s="563"/>
      <c r="G48" s="563"/>
      <c r="H48" s="563"/>
      <c r="I48" s="563"/>
      <c r="J48" s="563"/>
      <c r="K48" s="563"/>
      <c r="L48" s="563"/>
      <c r="M48" s="563"/>
      <c r="N48" s="563"/>
      <c r="O48" s="563"/>
    </row>
    <row r="49" spans="2:15" x14ac:dyDescent="0.5">
      <c r="B49" s="563" t="s">
        <v>78</v>
      </c>
      <c r="C49" s="630">
        <f>C46+C48</f>
        <v>63360.926118934163</v>
      </c>
      <c r="D49" s="563"/>
      <c r="E49" s="563"/>
      <c r="F49" s="563"/>
      <c r="G49" s="563"/>
      <c r="H49" s="563"/>
      <c r="I49" s="563"/>
      <c r="J49" s="563"/>
      <c r="K49" s="563"/>
      <c r="L49" s="563"/>
      <c r="M49" s="563"/>
      <c r="N49" s="563"/>
      <c r="O49" s="563"/>
    </row>
    <row r="50" spans="2:15" x14ac:dyDescent="0.5">
      <c r="B50" s="563" t="s">
        <v>382</v>
      </c>
      <c r="C50" s="630">
        <f>F17</f>
        <v>4643.8673490000001</v>
      </c>
      <c r="D50" s="563"/>
      <c r="E50" s="563"/>
      <c r="F50" s="563"/>
      <c r="G50" s="563"/>
      <c r="H50" s="563"/>
      <c r="I50" s="563"/>
      <c r="J50" s="563"/>
      <c r="K50" s="563"/>
      <c r="L50" s="563"/>
      <c r="M50" s="563"/>
      <c r="N50" s="563"/>
      <c r="O50" s="563"/>
    </row>
    <row r="51" spans="2:15" x14ac:dyDescent="0.5">
      <c r="B51" s="563" t="s">
        <v>75</v>
      </c>
      <c r="C51" s="695">
        <f>C49/C50</f>
        <v>13.644000001976405</v>
      </c>
      <c r="D51" s="563"/>
      <c r="E51" s="563"/>
      <c r="F51" s="563"/>
      <c r="G51" s="563"/>
      <c r="H51" s="563"/>
      <c r="I51" s="563"/>
      <c r="J51" s="563"/>
      <c r="K51" s="563"/>
      <c r="L51" s="563"/>
      <c r="M51" s="563"/>
      <c r="N51" s="563"/>
      <c r="O51" s="563"/>
    </row>
    <row r="52" spans="2:15" x14ac:dyDescent="0.5">
      <c r="B52" s="563" t="s">
        <v>77</v>
      </c>
      <c r="C52" s="650">
        <f>C51/B14-1</f>
        <v>1.4423791968505961E-2</v>
      </c>
      <c r="D52" s="563"/>
      <c r="E52" s="563"/>
      <c r="F52" s="563"/>
      <c r="G52" s="563"/>
      <c r="H52" s="563"/>
      <c r="I52" s="563"/>
      <c r="J52" s="563"/>
      <c r="K52" s="563"/>
      <c r="L52" s="563"/>
      <c r="M52" s="563"/>
      <c r="N52" s="563"/>
      <c r="O52" s="563"/>
    </row>
    <row r="54" spans="2:15" x14ac:dyDescent="0.5">
      <c r="B54" s="552" t="s">
        <v>2376</v>
      </c>
    </row>
    <row r="56" spans="2:15" x14ac:dyDescent="0.5">
      <c r="B56" s="552" t="s">
        <v>1085</v>
      </c>
      <c r="C56" s="611">
        <f>Valuation!O32</f>
        <v>0.34142482601914248</v>
      </c>
    </row>
    <row r="57" spans="2:15" x14ac:dyDescent="0.5">
      <c r="B57" s="552" t="s">
        <v>2375</v>
      </c>
      <c r="C57" s="1093">
        <v>0.7</v>
      </c>
    </row>
    <row r="58" spans="2:15" x14ac:dyDescent="0.5">
      <c r="B58" s="552" t="s">
        <v>2377</v>
      </c>
      <c r="C58" s="611">
        <f>C56*(1-C57)</f>
        <v>0.10242744780574276</v>
      </c>
    </row>
    <row r="59" spans="2:15" x14ac:dyDescent="0.5">
      <c r="C59" s="611"/>
    </row>
    <row r="60" spans="2:15" x14ac:dyDescent="0.5">
      <c r="B60" s="552" t="s">
        <v>2379</v>
      </c>
      <c r="C60" s="611">
        <v>0.1125</v>
      </c>
    </row>
    <row r="61" spans="2:15" x14ac:dyDescent="0.5">
      <c r="B61" s="552" t="s">
        <v>2380</v>
      </c>
      <c r="C61" s="611">
        <v>0.04</v>
      </c>
    </row>
    <row r="62" spans="2:15" x14ac:dyDescent="0.5">
      <c r="B62" s="552" t="s">
        <v>2381</v>
      </c>
      <c r="C62" s="695">
        <v>1</v>
      </c>
    </row>
    <row r="63" spans="2:15" x14ac:dyDescent="0.5">
      <c r="B63" s="552" t="s">
        <v>2378</v>
      </c>
      <c r="C63" s="575">
        <f>C60+(C61*C62)</f>
        <v>0.1525</v>
      </c>
    </row>
    <row r="65" spans="2:15" x14ac:dyDescent="0.5">
      <c r="B65" s="552" t="s">
        <v>24</v>
      </c>
      <c r="C65" s="567">
        <f>Master!O62*C57/(C63-C58)</f>
        <v>106487.91928700752</v>
      </c>
    </row>
    <row r="67" spans="2:15" x14ac:dyDescent="0.5">
      <c r="B67" s="574" t="s">
        <v>2385</v>
      </c>
      <c r="C67" s="574"/>
      <c r="D67" s="574"/>
      <c r="E67" s="574"/>
      <c r="F67" s="574"/>
      <c r="G67" s="574">
        <f>G37</f>
        <v>2022</v>
      </c>
      <c r="H67" s="574">
        <f t="shared" ref="H67:O67" si="4">H37</f>
        <v>2023</v>
      </c>
      <c r="I67" s="574">
        <f t="shared" si="4"/>
        <v>2024</v>
      </c>
      <c r="J67" s="574">
        <f t="shared" si="4"/>
        <v>2025</v>
      </c>
      <c r="K67" s="574">
        <f t="shared" si="4"/>
        <v>2026</v>
      </c>
      <c r="L67" s="574">
        <f t="shared" si="4"/>
        <v>2027</v>
      </c>
      <c r="M67" s="574">
        <f t="shared" si="4"/>
        <v>2028</v>
      </c>
      <c r="N67" s="574">
        <f t="shared" si="4"/>
        <v>2029</v>
      </c>
      <c r="O67" s="574">
        <f t="shared" si="4"/>
        <v>2030</v>
      </c>
    </row>
    <row r="68" spans="2:15" x14ac:dyDescent="0.5">
      <c r="B68" s="552" t="s">
        <v>1709</v>
      </c>
      <c r="G68" s="567">
        <f>Master!G86</f>
        <v>0</v>
      </c>
      <c r="H68" s="567">
        <f>Master!H86</f>
        <v>0</v>
      </c>
      <c r="I68" s="567">
        <f>Master!I86</f>
        <v>0</v>
      </c>
      <c r="J68" s="567">
        <f>Master!J86</f>
        <v>0</v>
      </c>
      <c r="K68" s="567">
        <f>Master!K86</f>
        <v>0</v>
      </c>
      <c r="L68" s="567">
        <f>Master!L86</f>
        <v>3372.5869706362028</v>
      </c>
      <c r="M68" s="567">
        <f>Master!M86</f>
        <v>3997.4483769632429</v>
      </c>
      <c r="N68" s="567">
        <f>Master!N86</f>
        <v>4520.6680859162852</v>
      </c>
      <c r="O68" s="567">
        <f>Master!O86</f>
        <v>5332.1218965565376</v>
      </c>
    </row>
    <row r="69" spans="2:15" x14ac:dyDescent="0.5">
      <c r="B69" s="552" t="s">
        <v>2382</v>
      </c>
      <c r="C69" s="567">
        <f>NPV(C63,J68:O68)</f>
        <v>8967.6005903575115</v>
      </c>
    </row>
    <row r="70" spans="2:15" x14ac:dyDescent="0.5">
      <c r="B70" s="552" t="s">
        <v>2383</v>
      </c>
      <c r="C70" s="567">
        <f>O68/(1+C63)^5</f>
        <v>2622.3786404398584</v>
      </c>
    </row>
    <row r="71" spans="2:15" x14ac:dyDescent="0.5">
      <c r="B71" s="618" t="s">
        <v>2384</v>
      </c>
      <c r="C71" s="608">
        <f>C70/(C63-C58)</f>
        <v>52371.579348827676</v>
      </c>
    </row>
    <row r="72" spans="2:15" x14ac:dyDescent="0.5">
      <c r="B72" s="552" t="s">
        <v>353</v>
      </c>
      <c r="C72" s="567">
        <f>C69+C71</f>
        <v>61339.179939185189</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18193-97FF-4D14-8B72-C8AB554B9DBB}">
  <dimension ref="B2:N48"/>
  <sheetViews>
    <sheetView zoomScale="80" zoomScaleNormal="80" workbookViewId="0">
      <selection activeCell="L43" sqref="L43"/>
    </sheetView>
  </sheetViews>
  <sheetFormatPr defaultRowHeight="15.6" x14ac:dyDescent="0.6"/>
  <cols>
    <col min="2" max="2" width="14.796875" bestFit="1" customWidth="1"/>
  </cols>
  <sheetData>
    <row r="2" spans="2:14" x14ac:dyDescent="0.6">
      <c r="B2" s="235" t="s">
        <v>84</v>
      </c>
      <c r="C2" s="592">
        <v>2020</v>
      </c>
      <c r="D2" s="592">
        <v>2021</v>
      </c>
      <c r="E2" s="592">
        <v>2022</v>
      </c>
      <c r="F2" s="592">
        <v>2023</v>
      </c>
      <c r="G2" s="592">
        <v>2024</v>
      </c>
      <c r="H2" s="592">
        <v>2025</v>
      </c>
      <c r="I2" s="592">
        <v>2026</v>
      </c>
      <c r="J2" s="592">
        <v>2027</v>
      </c>
      <c r="N2" t="s">
        <v>1090</v>
      </c>
    </row>
    <row r="3" spans="2:14" x14ac:dyDescent="0.6">
      <c r="B3" t="s">
        <v>132</v>
      </c>
      <c r="C3" s="776">
        <f>Valuation!E30</f>
        <v>-338.11999788892143</v>
      </c>
      <c r="D3" s="776">
        <f>Valuation!F30</f>
        <v>-375.35879985724881</v>
      </c>
      <c r="E3" s="776">
        <f>Valuation!G30</f>
        <v>-173.49043094420745</v>
      </c>
      <c r="F3" s="776">
        <f>Valuation!H30</f>
        <v>62.041868344627296</v>
      </c>
      <c r="G3" s="776">
        <f>Valuation!I30</f>
        <v>33.01324082405678</v>
      </c>
      <c r="H3" s="776">
        <f>Valuation!J30</f>
        <v>22.731982552717618</v>
      </c>
      <c r="I3" s="776">
        <f>Valuation!K30</f>
        <v>17.029518940472499</v>
      </c>
      <c r="J3" s="776">
        <f>Valuation!L30</f>
        <v>13.302095806750142</v>
      </c>
      <c r="N3" t="s">
        <v>1091</v>
      </c>
    </row>
    <row r="4" spans="2:14" x14ac:dyDescent="0.6">
      <c r="B4" t="s">
        <v>487</v>
      </c>
      <c r="C4" s="776">
        <v>13.895801544189453</v>
      </c>
      <c r="D4" s="776">
        <v>7.622767448425293</v>
      </c>
      <c r="E4" s="776">
        <v>7.288205623626709</v>
      </c>
      <c r="F4" s="776">
        <v>6.5398283004760742</v>
      </c>
      <c r="G4" s="776">
        <v>5.8972330093383789</v>
      </c>
      <c r="H4" s="776">
        <v>5.6322321891784668</v>
      </c>
      <c r="I4" s="776">
        <v>5.5130281448364258</v>
      </c>
      <c r="J4" s="776">
        <v>6.210594654083252</v>
      </c>
      <c r="N4" t="s">
        <v>1092</v>
      </c>
    </row>
    <row r="5" spans="2:14" x14ac:dyDescent="0.6">
      <c r="B5" t="s">
        <v>695</v>
      </c>
      <c r="C5" s="776">
        <v>12.323408126831055</v>
      </c>
      <c r="D5" s="776">
        <v>7.1006321907043457</v>
      </c>
      <c r="E5" s="776">
        <v>6.2648887634277344</v>
      </c>
      <c r="F5" s="776">
        <v>5.6400551795959473</v>
      </c>
      <c r="G5" s="776">
        <v>5.2337360382080078</v>
      </c>
      <c r="H5" s="776">
        <v>4.8953838348388672</v>
      </c>
      <c r="I5" s="776">
        <v>4.6436038017272949</v>
      </c>
      <c r="J5" s="776">
        <v>4.198544979095459</v>
      </c>
      <c r="N5" t="s">
        <v>1093</v>
      </c>
    </row>
    <row r="6" spans="2:14" x14ac:dyDescent="0.6">
      <c r="B6" t="s">
        <v>1087</v>
      </c>
      <c r="C6" s="776">
        <v>11.799598693847656</v>
      </c>
      <c r="D6" s="776">
        <v>6.8886170387268066</v>
      </c>
      <c r="E6" s="776">
        <v>6.3126769065856934</v>
      </c>
      <c r="F6" s="776">
        <v>5.7163748741149902</v>
      </c>
      <c r="G6" s="776">
        <v>5.241605281829834</v>
      </c>
      <c r="H6" s="776">
        <v>5.063199520111084</v>
      </c>
      <c r="I6" s="776">
        <v>4.8893070220947266</v>
      </c>
      <c r="J6" s="776">
        <v>4.4655075073242188</v>
      </c>
      <c r="N6" t="s">
        <v>1094</v>
      </c>
    </row>
    <row r="7" spans="2:14" x14ac:dyDescent="0.6">
      <c r="B7" t="s">
        <v>1089</v>
      </c>
      <c r="C7" s="776">
        <v>8.007176399230957</v>
      </c>
      <c r="D7" s="776">
        <v>3.932581901550293</v>
      </c>
      <c r="E7" s="776">
        <v>3.8397719860076904</v>
      </c>
      <c r="F7" s="776">
        <v>3.6715285778045654</v>
      </c>
      <c r="G7" s="776">
        <v>3.5607395172119141</v>
      </c>
      <c r="H7" s="776">
        <v>3.3885726928710938</v>
      </c>
      <c r="I7" s="776">
        <v>3.1577699184417725</v>
      </c>
      <c r="J7" s="776">
        <v>2.8538753986358643</v>
      </c>
      <c r="N7" t="s">
        <v>1095</v>
      </c>
    </row>
    <row r="8" spans="2:14" x14ac:dyDescent="0.6">
      <c r="B8" t="s">
        <v>392</v>
      </c>
      <c r="C8" s="776">
        <v>1425.1841494348523</v>
      </c>
      <c r="D8" s="776">
        <v>739.42787136812399</v>
      </c>
      <c r="E8" s="776">
        <v>-40.549687840394576</v>
      </c>
      <c r="F8" s="776">
        <v>45.302657840367168</v>
      </c>
      <c r="G8" s="776">
        <v>15.328122026020516</v>
      </c>
      <c r="H8" s="776">
        <v>8.3060915557119959</v>
      </c>
      <c r="I8" s="776">
        <v>7.4082306522832715</v>
      </c>
      <c r="J8" s="776">
        <v>6.2557651609946534</v>
      </c>
    </row>
    <row r="9" spans="2:14" x14ac:dyDescent="0.6">
      <c r="C9" s="775"/>
      <c r="D9" s="775"/>
      <c r="E9" s="775"/>
      <c r="F9" s="775"/>
      <c r="G9" s="775"/>
      <c r="H9" s="775"/>
      <c r="I9" s="775"/>
      <c r="J9" s="775"/>
    </row>
    <row r="10" spans="2:14" x14ac:dyDescent="0.6">
      <c r="B10" s="235" t="s">
        <v>433</v>
      </c>
      <c r="C10" s="592">
        <v>2020</v>
      </c>
      <c r="D10" s="592">
        <v>2021</v>
      </c>
      <c r="E10" s="592">
        <v>2022</v>
      </c>
      <c r="F10" s="592">
        <v>2023</v>
      </c>
      <c r="G10" s="592">
        <v>2024</v>
      </c>
      <c r="H10" s="592">
        <v>2025</v>
      </c>
      <c r="I10" s="592">
        <v>2026</v>
      </c>
      <c r="J10" s="592">
        <v>2027</v>
      </c>
    </row>
    <row r="11" spans="2:14" x14ac:dyDescent="0.6">
      <c r="B11" t="s">
        <v>132</v>
      </c>
      <c r="C11" s="776">
        <f>Valuation!E29</f>
        <v>124.48345894669821</v>
      </c>
      <c r="D11" s="776">
        <f>Valuation!F29</f>
        <v>14.05960086231522</v>
      </c>
      <c r="E11" s="776">
        <f>Valuation!G29</f>
        <v>12.910525454582647</v>
      </c>
      <c r="F11" s="776">
        <f>Valuation!H29</f>
        <v>10.007221710413312</v>
      </c>
      <c r="G11" s="776">
        <f ca="1">Valuation!I29</f>
        <v>7.6786665746916363</v>
      </c>
      <c r="H11" s="776">
        <f ca="1">Valuation!J29</f>
        <v>5.7398089028853487</v>
      </c>
      <c r="I11" s="776">
        <f ca="1">Valuation!K29</f>
        <v>4.2928884461950743</v>
      </c>
      <c r="J11" s="776">
        <f ca="1">Valuation!L29</f>
        <v>3.9139520764928415</v>
      </c>
    </row>
    <row r="12" spans="2:14" x14ac:dyDescent="0.6">
      <c r="B12" t="s">
        <v>487</v>
      </c>
      <c r="C12" s="776">
        <v>1.8856766223907471</v>
      </c>
      <c r="D12" s="776">
        <v>1.4174010753631592</v>
      </c>
      <c r="E12" s="776">
        <v>1.3680160045623779</v>
      </c>
      <c r="F12" s="776">
        <v>1.2277538776397705</v>
      </c>
      <c r="G12" s="776">
        <v>1.1129028797149658</v>
      </c>
      <c r="H12" s="776">
        <v>1.0498019456863403</v>
      </c>
      <c r="I12" s="776">
        <v>0.99848169088363647</v>
      </c>
      <c r="J12" s="776">
        <v>1.0178158283233643</v>
      </c>
    </row>
    <row r="13" spans="2:14" x14ac:dyDescent="0.6">
      <c r="B13" t="s">
        <v>695</v>
      </c>
      <c r="C13" s="776">
        <v>1.6687030792236328</v>
      </c>
      <c r="D13" s="776">
        <v>1.2651888132095337</v>
      </c>
      <c r="E13" s="776">
        <v>1.091179370880127</v>
      </c>
      <c r="F13" s="776">
        <v>0.99504554271697998</v>
      </c>
      <c r="G13" s="776">
        <v>0.91247260570526123</v>
      </c>
      <c r="H13" s="776">
        <v>0.85903263092041016</v>
      </c>
      <c r="I13" s="776">
        <v>0.80143076181411743</v>
      </c>
      <c r="J13" s="776">
        <v>0.72996115684509277</v>
      </c>
    </row>
    <row r="14" spans="2:14" x14ac:dyDescent="0.6">
      <c r="B14" t="s">
        <v>1087</v>
      </c>
      <c r="C14" s="776">
        <v>2.046090841293335</v>
      </c>
      <c r="D14" s="776">
        <v>1.4539557695388794</v>
      </c>
      <c r="E14" s="776">
        <v>1.1896272897720337</v>
      </c>
      <c r="F14" s="776">
        <v>1.081218957901001</v>
      </c>
      <c r="G14" s="776">
        <v>0.97874778509140015</v>
      </c>
      <c r="H14" s="776">
        <v>0.91934108734130859</v>
      </c>
      <c r="I14" s="776">
        <v>0.85457330942153931</v>
      </c>
      <c r="J14" s="776">
        <v>0.76306277513504028</v>
      </c>
    </row>
    <row r="15" spans="2:14" x14ac:dyDescent="0.6">
      <c r="B15" t="s">
        <v>1089</v>
      </c>
      <c r="C15" s="776">
        <v>0.88851547241210938</v>
      </c>
      <c r="D15" s="776">
        <v>0.57544714212417603</v>
      </c>
      <c r="E15" s="776">
        <v>0.60719394683837891</v>
      </c>
      <c r="F15" s="776">
        <v>0.56146645545959473</v>
      </c>
      <c r="G15" s="776">
        <v>0.52110421657562256</v>
      </c>
      <c r="H15" s="776">
        <v>0.4666748046875</v>
      </c>
      <c r="I15" s="776">
        <v>0.426614910364151</v>
      </c>
      <c r="J15" s="776">
        <v>0.39198365807533264</v>
      </c>
    </row>
    <row r="16" spans="2:14" x14ac:dyDescent="0.6">
      <c r="B16" t="s">
        <v>392</v>
      </c>
      <c r="C16" s="776">
        <v>2.372856884151969</v>
      </c>
      <c r="D16" s="776">
        <v>1.0439463316239246</v>
      </c>
      <c r="E16" s="776">
        <v>0.14825450338597565</v>
      </c>
      <c r="F16" s="776">
        <v>0.14633764250183162</v>
      </c>
      <c r="G16" s="776">
        <v>0.14164653398754384</v>
      </c>
      <c r="H16" s="776">
        <v>0.13489419475346875</v>
      </c>
      <c r="I16" s="776">
        <v>0.12924241277014634</v>
      </c>
      <c r="J16" s="776">
        <v>0.12444018901529631</v>
      </c>
    </row>
    <row r="18" spans="2:10" x14ac:dyDescent="0.6">
      <c r="B18" s="235" t="s">
        <v>1085</v>
      </c>
      <c r="C18" s="592">
        <v>2020</v>
      </c>
      <c r="D18" s="592">
        <v>2021</v>
      </c>
      <c r="E18" s="592">
        <v>2022</v>
      </c>
      <c r="F18" s="592">
        <v>2023</v>
      </c>
      <c r="G18" s="592">
        <v>2024</v>
      </c>
      <c r="H18" s="592">
        <v>2025</v>
      </c>
      <c r="I18" s="592">
        <v>2026</v>
      </c>
      <c r="J18" s="592">
        <v>2027</v>
      </c>
    </row>
    <row r="19" spans="2:10" x14ac:dyDescent="0.6">
      <c r="B19" s="353" t="s">
        <v>132</v>
      </c>
      <c r="C19" s="778">
        <f>Valuation!E32</f>
        <v>-0.39146313627025781</v>
      </c>
      <c r="D19" s="778">
        <f>Valuation!F32</f>
        <v>-3.7456228316182068E-2</v>
      </c>
      <c r="E19" s="778">
        <f>Valuation!G32</f>
        <v>-7.440139564093283E-2</v>
      </c>
      <c r="F19" s="778">
        <f>Valuation!H32</f>
        <v>0.16127813468176219</v>
      </c>
      <c r="G19" s="778">
        <f>Valuation!I32</f>
        <v>0.23259354074369407</v>
      </c>
      <c r="H19" s="778">
        <f>Valuation!J32</f>
        <v>0.25249926571842951</v>
      </c>
      <c r="I19" s="778">
        <f>Valuation!K32</f>
        <v>0.2520851270785201</v>
      </c>
      <c r="J19" s="778">
        <f>Valuation!L32</f>
        <v>0.29423574550611098</v>
      </c>
    </row>
    <row r="20" spans="2:10" x14ac:dyDescent="0.6">
      <c r="B20" t="s">
        <v>487</v>
      </c>
      <c r="C20" s="194">
        <v>0.12759045600891114</v>
      </c>
      <c r="D20" s="194">
        <v>0.17725357055664062</v>
      </c>
      <c r="E20" s="194">
        <v>0.18563161849975585</v>
      </c>
      <c r="F20" s="194">
        <v>0.18554628372192383</v>
      </c>
      <c r="G20" s="194">
        <v>0.18612653732299805</v>
      </c>
      <c r="H20" s="194">
        <v>0.18235416412353517</v>
      </c>
      <c r="I20" s="194">
        <v>0.17732147216796876</v>
      </c>
      <c r="J20" s="194">
        <v>0.16981634140014648</v>
      </c>
    </row>
    <row r="21" spans="2:10" x14ac:dyDescent="0.6">
      <c r="B21" t="s">
        <v>695</v>
      </c>
      <c r="C21" s="194">
        <v>0.13852413177490233</v>
      </c>
      <c r="D21" s="194">
        <v>0.17822771072387694</v>
      </c>
      <c r="E21" s="194">
        <v>0.18145479202270509</v>
      </c>
      <c r="F21" s="194">
        <v>0.18403053283691406</v>
      </c>
      <c r="G21" s="194">
        <v>0.18069332122802734</v>
      </c>
      <c r="H21" s="194">
        <v>0.17985008239746095</v>
      </c>
      <c r="I21" s="194">
        <v>0.17747835159301759</v>
      </c>
      <c r="J21" s="194">
        <v>0.18189771652221678</v>
      </c>
    </row>
    <row r="22" spans="2:10" x14ac:dyDescent="0.6">
      <c r="B22" t="s">
        <v>1087</v>
      </c>
      <c r="C22" s="194">
        <v>0.17614681243896485</v>
      </c>
      <c r="D22" s="194">
        <v>0.18855079650878906</v>
      </c>
      <c r="E22" s="194">
        <v>0.19394872665405274</v>
      </c>
      <c r="F22" s="194">
        <v>0.19523067474365235</v>
      </c>
      <c r="G22" s="194">
        <v>0.19174320220947266</v>
      </c>
      <c r="H22" s="194">
        <v>0.1839130401611328</v>
      </c>
      <c r="I22" s="194">
        <v>0.17690214157104492</v>
      </c>
      <c r="J22" s="194">
        <v>0.17666311264038087</v>
      </c>
    </row>
    <row r="23" spans="2:10" x14ac:dyDescent="0.6">
      <c r="B23" t="s">
        <v>1089</v>
      </c>
      <c r="C23" s="194">
        <v>0.12008397102355957</v>
      </c>
      <c r="D23" s="194">
        <v>0.15771991729736329</v>
      </c>
      <c r="E23" s="194">
        <v>0.16632966995239257</v>
      </c>
      <c r="F23" s="194">
        <v>0.15921351432800293</v>
      </c>
      <c r="G23" s="194">
        <v>0.15150238037109376</v>
      </c>
      <c r="H23" s="194">
        <v>0.14397494316101075</v>
      </c>
      <c r="I23" s="194">
        <v>0.14199460029602051</v>
      </c>
      <c r="J23" s="194">
        <v>0.14471800804138182</v>
      </c>
    </row>
    <row r="24" spans="2:10" x14ac:dyDescent="0.6">
      <c r="B24" t="s">
        <v>392</v>
      </c>
      <c r="C24" s="194">
        <v>2.0100564960405468E-3</v>
      </c>
      <c r="D24" s="194">
        <v>1.0831429999956703E-2</v>
      </c>
      <c r="E24" s="194">
        <v>-1.7966823912967105E-2</v>
      </c>
      <c r="F24" s="194">
        <v>1.735154550362987E-2</v>
      </c>
      <c r="G24" s="194">
        <v>5.01214345174089E-2</v>
      </c>
      <c r="H24" s="194">
        <v>8.8789672909908385E-2</v>
      </c>
      <c r="I24" s="194">
        <v>9.5098635787328939E-2</v>
      </c>
      <c r="J24" s="194">
        <v>0.10817170119672194</v>
      </c>
    </row>
    <row r="26" spans="2:10" x14ac:dyDescent="0.6">
      <c r="B26" s="235" t="s">
        <v>1086</v>
      </c>
      <c r="C26" s="592">
        <v>2020</v>
      </c>
      <c r="D26" s="592">
        <v>2021</v>
      </c>
      <c r="E26" s="592">
        <v>2022</v>
      </c>
      <c r="F26" s="592">
        <v>2023</v>
      </c>
      <c r="G26" s="592">
        <v>2024</v>
      </c>
      <c r="H26" s="592">
        <v>2025</v>
      </c>
      <c r="I26" s="592">
        <v>2026</v>
      </c>
      <c r="J26" s="592">
        <v>2027</v>
      </c>
    </row>
    <row r="27" spans="2:10" x14ac:dyDescent="0.6">
      <c r="B27" s="353" t="s">
        <v>132</v>
      </c>
      <c r="C27" s="778">
        <f>Valuation!E34</f>
        <v>-1.6843406906516287E-2</v>
      </c>
      <c r="D27" s="778">
        <f>Valuation!F34</f>
        <v>-8.3792589801012125E-3</v>
      </c>
      <c r="E27" s="778">
        <f>Valuation!G34</f>
        <v>-1.216286509923745E-2</v>
      </c>
      <c r="F27" s="778">
        <f>Valuation!H34</f>
        <v>2.3833529831134941E-2</v>
      </c>
      <c r="G27" s="778">
        <f ca="1">Valuation!I34</f>
        <v>4.1191956690181886E-2</v>
      </c>
      <c r="H27" s="778">
        <f ca="1">Valuation!J34</f>
        <v>4.6580231206080784E-2</v>
      </c>
      <c r="I27" s="778">
        <f ca="1">Valuation!K34</f>
        <v>5.1218825528012019E-2</v>
      </c>
      <c r="J27" s="778">
        <f ca="1">Valuation!L34</f>
        <v>5.6631601436123537E-2</v>
      </c>
    </row>
    <row r="28" spans="2:10" x14ac:dyDescent="0.6">
      <c r="B28" t="s">
        <v>487</v>
      </c>
      <c r="C28" s="194">
        <v>9.6258211135864264E-3</v>
      </c>
      <c r="D28" s="194">
        <v>1.2560616731643676E-2</v>
      </c>
      <c r="E28" s="194">
        <v>1.3439013957977294E-2</v>
      </c>
      <c r="F28" s="194">
        <v>1.3799663782119751E-2</v>
      </c>
      <c r="G28" s="194">
        <v>1.4168158769607545E-2</v>
      </c>
      <c r="H28" s="194">
        <v>1.3570921421051025E-2</v>
      </c>
      <c r="I28" s="194">
        <v>1.2555663585662841E-2</v>
      </c>
      <c r="J28" s="194">
        <v>1.1106677055358886E-2</v>
      </c>
    </row>
    <row r="29" spans="2:10" x14ac:dyDescent="0.6">
      <c r="B29" t="s">
        <v>695</v>
      </c>
      <c r="C29" s="194">
        <v>1.2742177248001099E-2</v>
      </c>
      <c r="D29" s="194">
        <v>1.5696907043457033E-2</v>
      </c>
      <c r="E29" s="194">
        <v>1.6112512350082396E-2</v>
      </c>
      <c r="F29" s="194">
        <v>1.6871894598007201E-2</v>
      </c>
      <c r="G29" s="194">
        <v>1.7054525613784791E-2</v>
      </c>
      <c r="H29" s="194">
        <v>1.6012728214263916E-2</v>
      </c>
      <c r="I29" s="194">
        <v>1.5879344940185548E-2</v>
      </c>
      <c r="J29" s="194">
        <v>1.6776443719863893E-2</v>
      </c>
    </row>
    <row r="30" spans="2:10" x14ac:dyDescent="0.6">
      <c r="B30" t="s">
        <v>1087</v>
      </c>
      <c r="C30" s="194">
        <v>1.6594154834747313E-2</v>
      </c>
      <c r="D30" s="194">
        <v>1.6811848878860475E-2</v>
      </c>
      <c r="E30" s="194">
        <v>1.6495649814605714E-2</v>
      </c>
      <c r="F30" s="194">
        <v>1.6611875295639039E-2</v>
      </c>
      <c r="G30" s="194">
        <v>1.711881160736084E-2</v>
      </c>
      <c r="H30" s="194">
        <v>1.6406233310699462E-2</v>
      </c>
      <c r="I30" s="194">
        <v>1.5767675638198853E-2</v>
      </c>
      <c r="J30" s="194">
        <v>1.62125027179718E-2</v>
      </c>
    </row>
    <row r="31" spans="2:10" x14ac:dyDescent="0.6">
      <c r="B31" t="s">
        <v>1089</v>
      </c>
      <c r="C31" s="194">
        <v>8.6886233091354372E-3</v>
      </c>
      <c r="D31" s="194">
        <v>1.1489552259445191E-2</v>
      </c>
      <c r="E31" s="194">
        <v>1.2429975271224976E-2</v>
      </c>
      <c r="F31" s="194">
        <v>1.1967368125915527E-2</v>
      </c>
      <c r="G31" s="194">
        <v>1.14528226852417E-2</v>
      </c>
      <c r="H31" s="194">
        <v>1.09102463722229E-2</v>
      </c>
      <c r="I31" s="194">
        <v>1.0907092094421388E-2</v>
      </c>
      <c r="J31" s="194">
        <v>1.1125595569610595E-2</v>
      </c>
    </row>
    <row r="32" spans="2:10" x14ac:dyDescent="0.6">
      <c r="B32" t="s">
        <v>392</v>
      </c>
      <c r="C32" s="194">
        <v>3.7419613673887752E-4</v>
      </c>
      <c r="D32" s="194">
        <v>2.2928856447701151E-3</v>
      </c>
      <c r="E32" s="194">
        <v>-3.672823538814212E-3</v>
      </c>
      <c r="F32" s="194">
        <v>2.839873096153119E-3</v>
      </c>
      <c r="G32" s="194">
        <v>7.2515756525634648E-3</v>
      </c>
      <c r="H32" s="194">
        <v>1.1944209083524867E-2</v>
      </c>
      <c r="I32" s="194">
        <v>1.2194171195835959E-2</v>
      </c>
      <c r="J32" s="194">
        <v>1.3296478741069517E-2</v>
      </c>
    </row>
    <row r="34" spans="2:12" x14ac:dyDescent="0.6">
      <c r="B34" s="235" t="s">
        <v>1088</v>
      </c>
      <c r="C34" s="592">
        <v>2020</v>
      </c>
      <c r="D34" s="592">
        <v>2021</v>
      </c>
      <c r="E34" s="592">
        <v>2022</v>
      </c>
      <c r="F34" s="592">
        <v>2023</v>
      </c>
      <c r="G34" s="592">
        <v>2024</v>
      </c>
      <c r="H34" s="592">
        <v>2025</v>
      </c>
      <c r="I34" s="592">
        <v>2026</v>
      </c>
      <c r="J34" s="592">
        <v>2027</v>
      </c>
    </row>
    <row r="35" spans="2:12" x14ac:dyDescent="0.6">
      <c r="B35" s="353" t="s">
        <v>132</v>
      </c>
      <c r="C35" s="777">
        <f>Master!E19</f>
        <v>8.817900482823314E-2</v>
      </c>
      <c r="D35" s="777">
        <f>Master!F19</f>
        <v>0.13418977126336215</v>
      </c>
      <c r="E35" s="777">
        <f>Master!G19</f>
        <v>0.19471536871845421</v>
      </c>
      <c r="F35" s="777">
        <f>Master!H19</f>
        <v>0.22770997103847745</v>
      </c>
      <c r="G35" s="777">
        <f>Master!I19</f>
        <v>0.26175753446107158</v>
      </c>
      <c r="H35" s="777">
        <f>Master!J19</f>
        <v>0.26473389033456113</v>
      </c>
      <c r="I35" s="777">
        <f>Master!K19</f>
        <v>0.25595295982718752</v>
      </c>
      <c r="J35" s="777">
        <f>Master!L19</f>
        <v>0.24095558519344121</v>
      </c>
      <c r="L35" t="s">
        <v>1096</v>
      </c>
    </row>
    <row r="36" spans="2:12" x14ac:dyDescent="0.6">
      <c r="B36" t="s">
        <v>487</v>
      </c>
      <c r="C36" s="194">
        <v>4.0321373939514162E-2</v>
      </c>
      <c r="D36" s="194">
        <v>4.0424461364746096E-2</v>
      </c>
      <c r="E36" s="194">
        <v>4.3705258369445804E-2</v>
      </c>
      <c r="F36" s="194">
        <v>4.5920329093933107E-2</v>
      </c>
      <c r="G36" s="194">
        <v>4.5189576148986818E-2</v>
      </c>
      <c r="H36" s="194">
        <v>4.4407644271850587E-2</v>
      </c>
      <c r="I36" s="194">
        <v>4.3919215202331545E-2</v>
      </c>
      <c r="J36" s="194">
        <v>3.4064633846282957E-2</v>
      </c>
    </row>
    <row r="37" spans="2:12" x14ac:dyDescent="0.6">
      <c r="B37" t="s">
        <v>695</v>
      </c>
      <c r="C37" s="194">
        <v>4.7309556007385255E-2</v>
      </c>
      <c r="D37" s="194">
        <v>4.2634115219116211E-2</v>
      </c>
      <c r="E37" s="194">
        <v>5.1931452751159665E-2</v>
      </c>
      <c r="F37" s="194">
        <v>5.2813363075256345E-2</v>
      </c>
      <c r="G37" s="194">
        <v>5.2871017456054686E-2</v>
      </c>
      <c r="H37" s="194">
        <v>5.3020420074462893E-2</v>
      </c>
      <c r="I37" s="194">
        <v>4.199619770050049E-2</v>
      </c>
      <c r="J37" s="194">
        <v>4.6001863479614255E-2</v>
      </c>
    </row>
    <row r="38" spans="2:12" x14ac:dyDescent="0.6">
      <c r="B38" t="s">
        <v>1087</v>
      </c>
      <c r="C38" s="194">
        <v>6.5831274986267091E-2</v>
      </c>
      <c r="D38" s="194">
        <v>6.5480346679687496E-2</v>
      </c>
      <c r="E38" s="194">
        <v>6.6723785400390631E-2</v>
      </c>
      <c r="F38" s="194">
        <v>6.5740118026733393E-2</v>
      </c>
      <c r="G38" s="194">
        <v>6.5054240226745608E-2</v>
      </c>
      <c r="H38" s="194">
        <v>6.1104760169982911E-2</v>
      </c>
      <c r="I38" s="194">
        <v>5.9403796195983884E-2</v>
      </c>
      <c r="J38" s="194">
        <v>6.0761566162109377E-2</v>
      </c>
    </row>
    <row r="39" spans="2:12" x14ac:dyDescent="0.6">
      <c r="B39" t="s">
        <v>1089</v>
      </c>
      <c r="C39" s="194">
        <v>3.7563829421997069E-2</v>
      </c>
      <c r="D39" s="194">
        <v>3.5595238208770752E-2</v>
      </c>
      <c r="E39" s="194">
        <v>3.6750335693359372E-2</v>
      </c>
      <c r="F39" s="194">
        <v>3.7615218162536622E-2</v>
      </c>
      <c r="G39" s="194">
        <v>3.712942361831665E-2</v>
      </c>
      <c r="H39" s="194">
        <v>3.5813834667205807E-2</v>
      </c>
      <c r="I39" s="194">
        <v>3.57104754447937E-2</v>
      </c>
      <c r="J39" s="194">
        <v>3.6953721046447757E-2</v>
      </c>
    </row>
    <row r="40" spans="2:12" x14ac:dyDescent="0.6">
      <c r="B40" t="s">
        <v>392</v>
      </c>
      <c r="C40" s="194">
        <v>0.11410665558139484</v>
      </c>
      <c r="D40" s="194">
        <v>0.13059408704015046</v>
      </c>
      <c r="E40" s="194">
        <v>0.11875064072324472</v>
      </c>
      <c r="F40" s="194">
        <v>0.12494862182871255</v>
      </c>
      <c r="G40" s="194">
        <v>0.12102788440847383</v>
      </c>
      <c r="H40" s="194">
        <v>0.13353945400402389</v>
      </c>
      <c r="I40" s="194">
        <v>0.13522956512710016</v>
      </c>
      <c r="J40" s="194">
        <v>0.13821505050520433</v>
      </c>
    </row>
    <row r="42" spans="2:12" x14ac:dyDescent="0.6">
      <c r="B42" s="235" t="s">
        <v>408</v>
      </c>
      <c r="C42" s="592">
        <v>2020</v>
      </c>
      <c r="D42" s="592">
        <v>2021</v>
      </c>
      <c r="E42" s="592">
        <v>2022</v>
      </c>
      <c r="F42" s="592">
        <v>2023</v>
      </c>
      <c r="G42" s="592">
        <v>2024</v>
      </c>
      <c r="H42" s="592">
        <v>2025</v>
      </c>
      <c r="I42" s="592">
        <v>2026</v>
      </c>
      <c r="J42" s="592">
        <v>2027</v>
      </c>
      <c r="L42" t="s">
        <v>1097</v>
      </c>
    </row>
    <row r="43" spans="2:12" x14ac:dyDescent="0.6">
      <c r="B43" t="s">
        <v>132</v>
      </c>
      <c r="C43" s="361">
        <f>Master!E16</f>
        <v>0.44349477682811017</v>
      </c>
      <c r="D43" s="361">
        <f>Master!F16</f>
        <v>0.43127228795779687</v>
      </c>
      <c r="E43" s="361">
        <f>Master!G16</f>
        <v>0.34720493276753589</v>
      </c>
      <c r="F43" s="361">
        <f>Master!H16</f>
        <v>0.4349775784753363</v>
      </c>
      <c r="G43" s="361">
        <f>Master!I16</f>
        <v>0.45550082387519197</v>
      </c>
      <c r="H43" s="361">
        <f>Master!J16</f>
        <v>0.47339720261768686</v>
      </c>
      <c r="I43" s="361">
        <f>Master!K16</f>
        <v>0.48682155729246507</v>
      </c>
      <c r="J43" s="361">
        <f>Master!L16</f>
        <v>0.51467630716853041</v>
      </c>
    </row>
    <row r="44" spans="2:12" x14ac:dyDescent="0.6">
      <c r="B44" t="s">
        <v>487</v>
      </c>
      <c r="C44" s="194">
        <v>0.35171257031742309</v>
      </c>
      <c r="D44" s="194">
        <v>0.4671090727194912</v>
      </c>
      <c r="E44" s="194">
        <v>0.45131211180754782</v>
      </c>
      <c r="F44" s="194">
        <v>0.46314034293793765</v>
      </c>
      <c r="G44" s="194">
        <v>0.47378862195526816</v>
      </c>
      <c r="H44" s="194">
        <v>0.47577001496586535</v>
      </c>
      <c r="I44" s="194">
        <v>0.46321738209902724</v>
      </c>
      <c r="J44" s="194">
        <v>0.44665421374559705</v>
      </c>
    </row>
    <row r="45" spans="2:12" x14ac:dyDescent="0.6">
      <c r="B45" t="s">
        <v>695</v>
      </c>
      <c r="C45" s="194">
        <v>0.56516307460985871</v>
      </c>
      <c r="D45" s="194">
        <v>0.57498171788684649</v>
      </c>
      <c r="E45" s="194">
        <v>0.45528123252214081</v>
      </c>
      <c r="F45" s="194">
        <v>0.45139318574421511</v>
      </c>
      <c r="G45" s="194">
        <v>0.47819622583601795</v>
      </c>
      <c r="H45" s="194">
        <v>0.49602273417100173</v>
      </c>
      <c r="I45" s="194">
        <v>0.48026025699870983</v>
      </c>
      <c r="J45" s="194">
        <v>0.47185034004338461</v>
      </c>
    </row>
    <row r="46" spans="2:12" x14ac:dyDescent="0.6">
      <c r="B46" t="s">
        <v>1087</v>
      </c>
      <c r="C46" s="194">
        <v>0.51312420855761587</v>
      </c>
      <c r="D46" s="194">
        <v>0.60030494941781953</v>
      </c>
      <c r="E46" s="194">
        <v>0.54854226886917579</v>
      </c>
      <c r="F46" s="194">
        <v>0.56983563691783201</v>
      </c>
      <c r="G46" s="194">
        <v>0.5873954554418892</v>
      </c>
      <c r="H46" s="194">
        <v>0.57587810293920672</v>
      </c>
      <c r="I46" s="194">
        <v>0.57980744332676926</v>
      </c>
      <c r="J46" s="194">
        <v>0.57727031438101806</v>
      </c>
    </row>
    <row r="47" spans="2:12" x14ac:dyDescent="0.6">
      <c r="B47" t="s">
        <v>1089</v>
      </c>
      <c r="C47" s="194">
        <v>0.4206282547073672</v>
      </c>
      <c r="D47" s="194">
        <v>0.48911031239750524</v>
      </c>
      <c r="E47" s="194">
        <v>0.39945643024762517</v>
      </c>
      <c r="F47" s="194">
        <v>0.40101230847035058</v>
      </c>
      <c r="G47" s="194">
        <v>0.44480854684350896</v>
      </c>
      <c r="H47" s="194">
        <v>0.40952725252218952</v>
      </c>
      <c r="I47" s="194">
        <v>0.42460227695955488</v>
      </c>
      <c r="J47" s="194">
        <v>0.44071051191078281</v>
      </c>
    </row>
    <row r="48" spans="2:12" x14ac:dyDescent="0.6">
      <c r="B48" t="s">
        <v>392</v>
      </c>
      <c r="C48" s="194">
        <v>0.62032742471897706</v>
      </c>
      <c r="D48" s="194">
        <v>0.60877713250494225</v>
      </c>
      <c r="E48" s="194">
        <v>0.44730109121043204</v>
      </c>
      <c r="F48" s="194">
        <v>0.48660104176378077</v>
      </c>
      <c r="G48" s="194">
        <v>0.52269074901382928</v>
      </c>
      <c r="H48" s="194">
        <v>0.55692589383205771</v>
      </c>
      <c r="I48" s="194">
        <v>0.56178255769445418</v>
      </c>
      <c r="J48" s="194">
        <v>0.56567918920465143</v>
      </c>
    </row>
  </sheetData>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C1381-440B-41C2-AB04-6586A111A411}">
  <dimension ref="A1:O32"/>
  <sheetViews>
    <sheetView showGridLines="0" topLeftCell="A3" zoomScale="80" zoomScaleNormal="80" workbookViewId="0">
      <selection activeCell="I3" sqref="I3"/>
    </sheetView>
  </sheetViews>
  <sheetFormatPr defaultRowHeight="15.6" x14ac:dyDescent="0.6"/>
  <cols>
    <col min="1" max="1" width="34.19921875" bestFit="1" customWidth="1"/>
  </cols>
  <sheetData>
    <row r="1" spans="1:15" s="101" customFormat="1" ht="15.9" thickBot="1" x14ac:dyDescent="0.65">
      <c r="A1" s="101" t="s">
        <v>860</v>
      </c>
    </row>
    <row r="2" spans="1:15" s="84" customFormat="1" x14ac:dyDescent="0.6">
      <c r="A2" s="235" t="s">
        <v>858</v>
      </c>
      <c r="C2" s="300">
        <v>2018</v>
      </c>
      <c r="D2" s="300">
        <v>2019</v>
      </c>
      <c r="E2" s="300">
        <v>2020</v>
      </c>
      <c r="F2" s="300">
        <v>2021</v>
      </c>
      <c r="G2" s="300">
        <v>2022</v>
      </c>
      <c r="H2" s="300">
        <v>2023</v>
      </c>
      <c r="I2" s="480">
        <v>2024</v>
      </c>
      <c r="J2" s="480">
        <v>2025</v>
      </c>
      <c r="K2" s="480">
        <v>2026</v>
      </c>
      <c r="L2" s="480">
        <v>2027</v>
      </c>
      <c r="M2" s="480">
        <v>2028</v>
      </c>
      <c r="N2" s="480">
        <v>2029</v>
      </c>
      <c r="O2" s="480">
        <v>2030</v>
      </c>
    </row>
    <row r="3" spans="1:15" x14ac:dyDescent="0.6">
      <c r="A3" t="s">
        <v>47</v>
      </c>
      <c r="C3" s="166">
        <f>Master!C212</f>
        <v>628.70000000000005</v>
      </c>
      <c r="D3" s="166">
        <f>Master!D212</f>
        <v>2693.2</v>
      </c>
      <c r="E3" s="166">
        <f>Master!E212</f>
        <v>5584.9</v>
      </c>
      <c r="F3" s="166">
        <f>Master!F212</f>
        <v>9667.2999999999993</v>
      </c>
      <c r="G3" s="166">
        <f>Master!G212</f>
        <v>15808</v>
      </c>
      <c r="H3" s="166">
        <f>Master!H212</f>
        <v>23691</v>
      </c>
      <c r="I3" s="166">
        <f>I20/Macro!I$4</f>
        <v>30085.70785426574</v>
      </c>
      <c r="J3" s="166">
        <f>J20/Macro!J$4</f>
        <v>39152.93976490909</v>
      </c>
      <c r="K3" s="166">
        <f>K20/Macro!K$4</f>
        <v>47027.602321753846</v>
      </c>
      <c r="L3" s="166">
        <f>L20/Macro!L$4</f>
        <v>55730.132854490774</v>
      </c>
      <c r="M3" s="166">
        <f>M20/Macro!M$4</f>
        <v>64725.171841531403</v>
      </c>
      <c r="N3" s="166">
        <f>N20/Macro!N$4</f>
        <v>73617.550057524291</v>
      </c>
      <c r="O3" s="166">
        <f>O20/Macro!O$4</f>
        <v>82990.478454183525</v>
      </c>
    </row>
    <row r="4" spans="1:15" x14ac:dyDescent="0.6">
      <c r="A4" s="167" t="s">
        <v>267</v>
      </c>
      <c r="B4" s="167"/>
      <c r="C4" s="166">
        <f>C3/Drivers!C8</f>
        <v>123.27450980392159</v>
      </c>
      <c r="D4" s="166">
        <f>D3/Drivers!D8</f>
        <v>222.57851239669421</v>
      </c>
      <c r="E4" s="166">
        <f>E3/Drivers!E8</f>
        <v>256.1880733944954</v>
      </c>
      <c r="F4" s="166">
        <f>F3/Drivers!F8</f>
        <v>235.21411192214109</v>
      </c>
      <c r="G4" s="166">
        <f>G3/Drivers!G8</f>
        <v>258.30065359477123</v>
      </c>
      <c r="H4" s="166">
        <f>H3/Drivers!H8</f>
        <v>303.73076923076923</v>
      </c>
      <c r="I4" s="166">
        <f>I3/Drivers!I8</f>
        <v>319.38118741258745</v>
      </c>
      <c r="J4" s="166">
        <f>J3/Drivers!J8</f>
        <v>367.28836552447552</v>
      </c>
      <c r="K4" s="166">
        <f>K3/Drivers!K8</f>
        <v>404.01720207692313</v>
      </c>
      <c r="L4" s="166">
        <f>L3/Drivers!L8</f>
        <v>444.41892228461546</v>
      </c>
      <c r="M4" s="166">
        <f>M3/Drivers!M8</f>
        <v>488.86081451307706</v>
      </c>
      <c r="N4" s="166">
        <f>N3/Drivers!N8</f>
        <v>537.74689596438486</v>
      </c>
      <c r="O4" s="166">
        <f>O3/Drivers!O8</f>
        <v>591.52158556082338</v>
      </c>
    </row>
    <row r="5" spans="1:15" x14ac:dyDescent="0.6">
      <c r="A5" s="92" t="s">
        <v>261</v>
      </c>
      <c r="B5" s="92"/>
      <c r="C5" s="149"/>
      <c r="D5" s="161">
        <f>D4/C4-1</f>
        <v>0.80555179453338677</v>
      </c>
      <c r="E5" s="161">
        <f>E4/D4-1</f>
        <v>0.15100092383536112</v>
      </c>
      <c r="F5" s="161">
        <f>F4/E4-1</f>
        <v>-8.1869390695862854E-2</v>
      </c>
      <c r="G5" s="161">
        <f t="shared" ref="G5:O5" si="0">G4/F4-1</f>
        <v>9.8151175896589393E-2</v>
      </c>
      <c r="H5" s="161">
        <f t="shared" si="0"/>
        <v>0.17588076144503262</v>
      </c>
      <c r="I5" s="161">
        <f t="shared" si="0"/>
        <v>5.1527272727272866E-2</v>
      </c>
      <c r="J5" s="161">
        <f t="shared" si="0"/>
        <v>0.14999999999999991</v>
      </c>
      <c r="K5" s="161">
        <f t="shared" si="0"/>
        <v>0.10000000000000009</v>
      </c>
      <c r="L5" s="161">
        <f t="shared" si="0"/>
        <v>0.10000000000000009</v>
      </c>
      <c r="M5" s="161">
        <f t="shared" si="0"/>
        <v>0.10000000000000009</v>
      </c>
      <c r="N5" s="161">
        <f t="shared" si="0"/>
        <v>0.10000000000000009</v>
      </c>
      <c r="O5" s="161">
        <f t="shared" si="0"/>
        <v>0.10000000000000009</v>
      </c>
    </row>
    <row r="6" spans="1:15" x14ac:dyDescent="0.6">
      <c r="A6" s="92"/>
      <c r="B6" s="92"/>
      <c r="C6" s="149"/>
      <c r="D6" s="161"/>
      <c r="E6" s="161"/>
      <c r="F6" s="231"/>
      <c r="G6" s="162"/>
      <c r="H6" s="162"/>
      <c r="I6" s="162"/>
      <c r="J6" s="162"/>
      <c r="K6" s="162"/>
      <c r="L6" s="162"/>
      <c r="M6" s="162"/>
      <c r="N6" s="162"/>
      <c r="O6" s="162"/>
    </row>
    <row r="7" spans="1:15" x14ac:dyDescent="0.6">
      <c r="A7" t="str">
        <f>Master!B186</f>
        <v>Securities</v>
      </c>
      <c r="B7" s="92"/>
      <c r="C7" s="166">
        <f>Master!C186</f>
        <v>570.20000000000005</v>
      </c>
      <c r="D7" s="166">
        <f>Master!D186</f>
        <v>2237.6999999999998</v>
      </c>
      <c r="E7" s="166">
        <f>Master!E186</f>
        <v>4287.3</v>
      </c>
      <c r="F7" s="166">
        <f>Master!F190</f>
        <v>8163.4279999999999</v>
      </c>
      <c r="G7" s="166">
        <f>Master!G190</f>
        <v>9947</v>
      </c>
      <c r="H7" s="166">
        <f>Master!H190</f>
        <v>8805</v>
      </c>
      <c r="I7" s="166">
        <f>I24/Macro!I$4</f>
        <v>10529.997748993008</v>
      </c>
      <c r="J7" s="166">
        <f>J24/Macro!J$4</f>
        <v>13703.528917718178</v>
      </c>
      <c r="K7" s="166">
        <f>K24/Macro!K$4</f>
        <v>16459.660812613845</v>
      </c>
      <c r="L7" s="166">
        <f>L24/Macro!L$4</f>
        <v>19505.54649907177</v>
      </c>
      <c r="M7" s="166">
        <f>M24/Macro!M$4</f>
        <v>22653.81014453599</v>
      </c>
      <c r="N7" s="166">
        <f>N24/Macro!N$4</f>
        <v>25766.142520133497</v>
      </c>
      <c r="O7" s="166">
        <f>O24/Macro!O$4</f>
        <v>29046.667458964232</v>
      </c>
    </row>
    <row r="8" spans="1:15" x14ac:dyDescent="0.6">
      <c r="A8" s="24" t="s">
        <v>265</v>
      </c>
      <c r="B8" s="92"/>
      <c r="C8" s="150">
        <f>C7/C3</f>
        <v>0.90695085096230321</v>
      </c>
      <c r="D8" s="150">
        <f>D7/D3</f>
        <v>0.83087034011584726</v>
      </c>
      <c r="E8" s="150">
        <f>E7/E3</f>
        <v>0.76765922397894326</v>
      </c>
      <c r="F8" s="150">
        <f>F7/F3</f>
        <v>0.84443722652653797</v>
      </c>
      <c r="G8" s="150">
        <f t="shared" ref="G8:O8" si="1">G7/G3</f>
        <v>0.62923836032388669</v>
      </c>
      <c r="H8" s="150">
        <f t="shared" si="1"/>
        <v>0.37166012409775862</v>
      </c>
      <c r="I8" s="150">
        <f t="shared" si="1"/>
        <v>0.35</v>
      </c>
      <c r="J8" s="150">
        <f t="shared" si="1"/>
        <v>0.34999999999999992</v>
      </c>
      <c r="K8" s="150">
        <f t="shared" si="1"/>
        <v>0.35</v>
      </c>
      <c r="L8" s="150">
        <f t="shared" si="1"/>
        <v>0.35</v>
      </c>
      <c r="M8" s="150">
        <f t="shared" si="1"/>
        <v>0.35</v>
      </c>
      <c r="N8" s="150">
        <f t="shared" si="1"/>
        <v>0.34999999999999992</v>
      </c>
      <c r="O8" s="150">
        <f t="shared" si="1"/>
        <v>0.35</v>
      </c>
    </row>
    <row r="9" spans="1:15" x14ac:dyDescent="0.6">
      <c r="A9" s="92"/>
      <c r="B9" s="92"/>
      <c r="C9" s="149"/>
      <c r="D9" s="161"/>
      <c r="E9" s="161"/>
      <c r="F9" s="231"/>
      <c r="G9" s="162"/>
      <c r="H9" s="162"/>
      <c r="I9" s="162"/>
      <c r="J9" s="162"/>
      <c r="K9" s="162"/>
      <c r="L9" s="162"/>
      <c r="M9" s="162"/>
      <c r="N9" s="162"/>
      <c r="O9" s="162"/>
    </row>
    <row r="10" spans="1:15" s="84" customFormat="1" x14ac:dyDescent="0.6">
      <c r="A10" s="235" t="s">
        <v>859</v>
      </c>
      <c r="B10" s="475"/>
      <c r="C10" s="476"/>
      <c r="D10" s="477"/>
      <c r="E10" s="477"/>
      <c r="F10" s="478"/>
      <c r="G10" s="479"/>
      <c r="H10" s="479"/>
      <c r="I10" s="479"/>
      <c r="J10" s="479"/>
      <c r="K10" s="479"/>
      <c r="L10" s="479"/>
      <c r="M10" s="479"/>
      <c r="N10" s="479"/>
      <c r="O10" s="479"/>
    </row>
    <row r="11" spans="1:15" x14ac:dyDescent="0.6">
      <c r="A11" t="str">
        <f>Master!B192</f>
        <v>Compulsory deposits at central banks</v>
      </c>
      <c r="B11" s="92"/>
      <c r="C11" s="166">
        <f>Master!C192</f>
        <v>0</v>
      </c>
      <c r="D11" s="166">
        <f>Master!D192</f>
        <v>0</v>
      </c>
      <c r="E11" s="166">
        <f>Master!E192</f>
        <v>43.5</v>
      </c>
      <c r="F11" s="166">
        <f>Master!F192</f>
        <v>938.65899999999999</v>
      </c>
      <c r="G11" s="166">
        <f>Master!G192</f>
        <v>2778</v>
      </c>
      <c r="H11" s="166">
        <f>Master!H192</f>
        <v>7447</v>
      </c>
      <c r="I11" s="166">
        <f>I28/Macro!I$4</f>
        <v>9457.1046553846172</v>
      </c>
      <c r="J11" s="166">
        <f>J28/Macro!J$4</f>
        <v>12307.287257999998</v>
      </c>
      <c r="K11" s="166">
        <f>K28/Macro!K$4</f>
        <v>14782.599066738463</v>
      </c>
      <c r="L11" s="166">
        <f>L28/Macro!L$4</f>
        <v>17518.141883727694</v>
      </c>
      <c r="M11" s="166">
        <f>M28/Macro!M$4</f>
        <v>20345.631450925852</v>
      </c>
      <c r="N11" s="166">
        <f>N28/Macro!N$4</f>
        <v>23140.85075675925</v>
      </c>
      <c r="O11" s="166">
        <f>O28/Macro!O$4</f>
        <v>26087.125619361981</v>
      </c>
    </row>
    <row r="12" spans="1:15" x14ac:dyDescent="0.6">
      <c r="A12" s="92" t="s">
        <v>303</v>
      </c>
      <c r="B12" s="92"/>
      <c r="C12" s="150">
        <f>C11/C3</f>
        <v>0</v>
      </c>
      <c r="D12" s="150">
        <f>D11/D3</f>
        <v>0</v>
      </c>
      <c r="E12" s="220">
        <f>E11/E3</f>
        <v>7.7888592454654522E-3</v>
      </c>
      <c r="F12" s="220">
        <f>F11/F3</f>
        <v>9.7096293691103008E-2</v>
      </c>
      <c r="G12" s="220">
        <f t="shared" ref="G12:O12" si="2">G11/G3</f>
        <v>0.17573380566801619</v>
      </c>
      <c r="H12" s="220">
        <f t="shared" si="2"/>
        <v>0.31433877843906971</v>
      </c>
      <c r="I12" s="220">
        <f t="shared" si="2"/>
        <v>0.31433877843906971</v>
      </c>
      <c r="J12" s="220">
        <f t="shared" si="2"/>
        <v>0.31433877843906965</v>
      </c>
      <c r="K12" s="220">
        <f t="shared" si="2"/>
        <v>0.31433877843906971</v>
      </c>
      <c r="L12" s="220">
        <f t="shared" si="2"/>
        <v>0.31433877843906971</v>
      </c>
      <c r="M12" s="220">
        <f t="shared" si="2"/>
        <v>0.31433877843906971</v>
      </c>
      <c r="N12" s="220">
        <f t="shared" si="2"/>
        <v>0.31433877843906965</v>
      </c>
      <c r="O12" s="220">
        <f t="shared" si="2"/>
        <v>0.31433877843906965</v>
      </c>
    </row>
    <row r="13" spans="1:15" x14ac:dyDescent="0.6">
      <c r="A13" s="92"/>
      <c r="B13" s="92"/>
      <c r="C13" s="149"/>
      <c r="D13" s="161"/>
      <c r="E13" s="161"/>
      <c r="F13" s="231"/>
      <c r="G13" s="162"/>
      <c r="H13" s="162"/>
      <c r="I13" s="162"/>
      <c r="J13" s="162"/>
      <c r="K13" s="162"/>
      <c r="L13" s="162"/>
      <c r="M13" s="162"/>
      <c r="N13" s="162"/>
      <c r="O13" s="162"/>
    </row>
    <row r="14" spans="1:15" x14ac:dyDescent="0.6">
      <c r="A14" t="str">
        <f>Master!B213</f>
        <v>Payables to credit card network</v>
      </c>
      <c r="B14" s="92"/>
      <c r="C14" s="166">
        <f>Master!C213</f>
        <v>1675.9</v>
      </c>
      <c r="D14" s="166">
        <f>Master!D213</f>
        <v>2976.5</v>
      </c>
      <c r="E14" s="166">
        <f>Master!E213</f>
        <v>3331.3</v>
      </c>
      <c r="F14" s="166">
        <f>Master!F213</f>
        <v>4882.1589999999997</v>
      </c>
      <c r="G14" s="166">
        <f>Master!G213</f>
        <v>7054</v>
      </c>
      <c r="H14" s="166">
        <f>Master!H213</f>
        <v>9755</v>
      </c>
      <c r="I14" s="166">
        <f ca="1">I31/Macro!I$4</f>
        <v>5204.4960035262347</v>
      </c>
      <c r="J14" s="166">
        <f ca="1">J31/Macro!J$4</f>
        <v>6715.907904833879</v>
      </c>
      <c r="K14" s="166">
        <f ca="1">K31/Macro!K$4</f>
        <v>8028.5310763252928</v>
      </c>
      <c r="L14" s="166">
        <f ca="1">L31/Macro!L$4</f>
        <v>9479.1511054912262</v>
      </c>
      <c r="M14" s="166">
        <f ca="1">M31/Macro!M$4</f>
        <v>10978.529208060882</v>
      </c>
      <c r="N14" s="166">
        <f ca="1">N31/Macro!N$4</f>
        <v>12460.794843155558</v>
      </c>
      <c r="O14" s="166">
        <f ca="1">O31/Macro!O$4</f>
        <v>14023.163123621209</v>
      </c>
    </row>
    <row r="15" spans="1:15" x14ac:dyDescent="0.6">
      <c r="A15" s="92" t="s">
        <v>300</v>
      </c>
      <c r="B15" s="92"/>
      <c r="C15" s="150">
        <f>C14/Master!C193</f>
        <v>1.0320852321714498</v>
      </c>
      <c r="D15" s="150">
        <f>D14/Master!D193</f>
        <v>1.068185896285663</v>
      </c>
      <c r="E15" s="220">
        <f>E14/Master!E193</f>
        <v>1.1452095293753652</v>
      </c>
      <c r="F15" s="220">
        <f>F14/Master!F193</f>
        <v>1.0212653488128856</v>
      </c>
      <c r="G15" s="220">
        <f>G14/Master!G193</f>
        <v>0.85679582169318591</v>
      </c>
      <c r="H15" s="220">
        <f>H14/Master!H193</f>
        <v>0.78580634767198321</v>
      </c>
      <c r="I15" s="158">
        <f t="shared" ref="I15:O15" si="3">H15</f>
        <v>0.78580634767198321</v>
      </c>
      <c r="J15" s="158">
        <f t="shared" si="3"/>
        <v>0.78580634767198321</v>
      </c>
      <c r="K15" s="158">
        <f t="shared" si="3"/>
        <v>0.78580634767198321</v>
      </c>
      <c r="L15" s="158">
        <f t="shared" si="3"/>
        <v>0.78580634767198321</v>
      </c>
      <c r="M15" s="158">
        <f t="shared" si="3"/>
        <v>0.78580634767198321</v>
      </c>
      <c r="N15" s="158">
        <f t="shared" si="3"/>
        <v>0.78580634767198321</v>
      </c>
      <c r="O15" s="158">
        <f t="shared" si="3"/>
        <v>0.78580634767198321</v>
      </c>
    </row>
    <row r="18" spans="1:15" s="101" customFormat="1" ht="15.9" thickBot="1" x14ac:dyDescent="0.65">
      <c r="A18" s="101" t="s">
        <v>861</v>
      </c>
    </row>
    <row r="19" spans="1:15" s="84" customFormat="1" x14ac:dyDescent="0.6">
      <c r="A19" s="235" t="s">
        <v>858</v>
      </c>
      <c r="C19" s="300"/>
      <c r="D19" s="300"/>
      <c r="E19" s="300"/>
      <c r="F19" s="300"/>
      <c r="G19" s="300"/>
      <c r="H19" s="300"/>
      <c r="I19" s="300"/>
      <c r="J19" s="300"/>
      <c r="K19" s="300"/>
      <c r="L19" s="300"/>
      <c r="M19" s="300"/>
      <c r="N19" s="300"/>
      <c r="O19" s="300"/>
    </row>
    <row r="20" spans="1:15" x14ac:dyDescent="0.6">
      <c r="A20" t="s">
        <v>47</v>
      </c>
      <c r="C20" s="166">
        <f>C3*Macro!C$4</f>
        <v>2436.0867600000001</v>
      </c>
      <c r="D20" s="166">
        <f>D3*Macro!D$4</f>
        <v>10855.481240000001</v>
      </c>
      <c r="E20" s="166">
        <f>E3*Macro!E$4</f>
        <v>29023.049829999996</v>
      </c>
      <c r="F20" s="166">
        <f>F3*Macro!F$4</f>
        <v>53948.367649999993</v>
      </c>
      <c r="G20" s="166">
        <f>G3*Macro!G$4</f>
        <v>80936.960000000006</v>
      </c>
      <c r="H20" s="166">
        <f>H3*Macro!H$4</f>
        <v>115138.26000000001</v>
      </c>
      <c r="I20" s="166">
        <f>I21*Drivers!I$8</f>
        <v>165471.39319846156</v>
      </c>
      <c r="J20" s="166">
        <f>J21*Drivers!J$8</f>
        <v>215341.16870699998</v>
      </c>
      <c r="K20" s="166">
        <f>K21*Drivers!K$8</f>
        <v>258651.81276964615</v>
      </c>
      <c r="L20" s="166">
        <f>L21*Drivers!L$8</f>
        <v>306515.73069969926</v>
      </c>
      <c r="M20" s="166">
        <f>M21*Drivers!M$8</f>
        <v>355988.4451284227</v>
      </c>
      <c r="N20" s="166">
        <f>N21*Drivers!N$8</f>
        <v>404896.52531638357</v>
      </c>
      <c r="O20" s="166">
        <f>O21*Drivers!O$8</f>
        <v>456447.63149800937</v>
      </c>
    </row>
    <row r="21" spans="1:15" x14ac:dyDescent="0.6">
      <c r="A21" s="167" t="s">
        <v>267</v>
      </c>
      <c r="B21" s="167"/>
      <c r="C21" s="166">
        <f>C20/Drivers!C8</f>
        <v>477.66407058823535</v>
      </c>
      <c r="D21" s="166">
        <f>D20/Drivers!D8</f>
        <v>897.14720991735544</v>
      </c>
      <c r="E21" s="166">
        <f>E20/Drivers!E8</f>
        <v>1331.332561009174</v>
      </c>
      <c r="F21" s="166">
        <f>F20/Drivers!F8</f>
        <v>1312.6123515815084</v>
      </c>
      <c r="G21" s="166">
        <f>G20/Drivers!G8</f>
        <v>1322.4993464052288</v>
      </c>
      <c r="H21" s="166">
        <f>H20/Drivers!H8</f>
        <v>1476.1315384615386</v>
      </c>
      <c r="I21" s="166">
        <f t="shared" ref="I21:O21" si="4">(1+I22)*H21</f>
        <v>1756.5965307692309</v>
      </c>
      <c r="J21" s="166">
        <f t="shared" si="4"/>
        <v>2020.0860103846153</v>
      </c>
      <c r="K21" s="166">
        <f t="shared" si="4"/>
        <v>2222.0946114230769</v>
      </c>
      <c r="L21" s="166">
        <f t="shared" si="4"/>
        <v>2444.304072565385</v>
      </c>
      <c r="M21" s="166">
        <f t="shared" si="4"/>
        <v>2688.7344798219237</v>
      </c>
      <c r="N21" s="166">
        <f t="shared" si="4"/>
        <v>2957.6079278041166</v>
      </c>
      <c r="O21" s="166">
        <f t="shared" si="4"/>
        <v>3253.3687205845285</v>
      </c>
    </row>
    <row r="22" spans="1:15" x14ac:dyDescent="0.6">
      <c r="A22" s="92" t="s">
        <v>261</v>
      </c>
      <c r="B22" s="92"/>
      <c r="C22" s="149"/>
      <c r="D22" s="161">
        <f>D21/C21-1</f>
        <v>0.87819696970830052</v>
      </c>
      <c r="E22" s="161">
        <f>E21/D21-1</f>
        <v>0.48396221522197624</v>
      </c>
      <c r="F22" s="161">
        <f>F21/E21-1</f>
        <v>-1.4061257101287583E-2</v>
      </c>
      <c r="G22" s="161">
        <f>G21/F21-1</f>
        <v>7.5323036628507367E-3</v>
      </c>
      <c r="H22" s="161">
        <f>H21/G21-1</f>
        <v>0.11616806652790213</v>
      </c>
      <c r="I22" s="218">
        <v>0.19</v>
      </c>
      <c r="J22" s="218">
        <v>0.15</v>
      </c>
      <c r="K22" s="218">
        <v>0.1</v>
      </c>
      <c r="L22" s="218">
        <v>0.1</v>
      </c>
      <c r="M22" s="218">
        <v>0.1</v>
      </c>
      <c r="N22" s="218">
        <v>0.1</v>
      </c>
      <c r="O22" s="218">
        <v>0.1</v>
      </c>
    </row>
    <row r="23" spans="1:15" x14ac:dyDescent="0.6">
      <c r="A23" s="92"/>
      <c r="B23" s="92"/>
      <c r="C23" s="149"/>
      <c r="D23" s="161"/>
      <c r="E23" s="161"/>
      <c r="F23" s="231"/>
      <c r="G23" s="162"/>
      <c r="H23" s="162"/>
      <c r="I23" s="162"/>
      <c r="J23" s="162"/>
      <c r="K23" s="162"/>
      <c r="L23" s="162"/>
      <c r="M23" s="162"/>
      <c r="N23" s="162"/>
      <c r="O23" s="162"/>
    </row>
    <row r="24" spans="1:15" x14ac:dyDescent="0.6">
      <c r="A24" t="s">
        <v>101</v>
      </c>
      <c r="B24" s="92"/>
      <c r="C24" s="166">
        <f>C7*Macro!C$4</f>
        <v>2209.4109600000002</v>
      </c>
      <c r="D24" s="166">
        <f>D7*Macro!D$4</f>
        <v>9019.4973900000005</v>
      </c>
      <c r="E24" s="166">
        <f>E7*Macro!E$4</f>
        <v>22279.81191</v>
      </c>
      <c r="F24" s="166">
        <f>F7*Macro!F$4</f>
        <v>45556.009954000001</v>
      </c>
      <c r="G24" s="166">
        <f>G7*Macro!G$4</f>
        <v>50928.639999999999</v>
      </c>
      <c r="H24" s="166">
        <f>H7*Macro!H$4</f>
        <v>42792.3</v>
      </c>
      <c r="I24" s="166">
        <f t="shared" ref="I24:O24" si="5">I25*I20</f>
        <v>57914.987619461543</v>
      </c>
      <c r="J24" s="166">
        <f t="shared" si="5"/>
        <v>75369.409047449983</v>
      </c>
      <c r="K24" s="166">
        <f t="shared" si="5"/>
        <v>90528.134469376149</v>
      </c>
      <c r="L24" s="166">
        <f t="shared" si="5"/>
        <v>107280.50574489473</v>
      </c>
      <c r="M24" s="166">
        <f t="shared" si="5"/>
        <v>124595.95579494793</v>
      </c>
      <c r="N24" s="166">
        <f t="shared" si="5"/>
        <v>141713.78386073423</v>
      </c>
      <c r="O24" s="166">
        <f t="shared" si="5"/>
        <v>159756.67102430327</v>
      </c>
    </row>
    <row r="25" spans="1:15" x14ac:dyDescent="0.6">
      <c r="A25" s="24" t="s">
        <v>265</v>
      </c>
      <c r="B25" s="92"/>
      <c r="C25" s="150">
        <f t="shared" ref="C25:H25" si="6">C24/C20</f>
        <v>0.90695085096230321</v>
      </c>
      <c r="D25" s="150">
        <f t="shared" si="6"/>
        <v>0.83087034011584726</v>
      </c>
      <c r="E25" s="150">
        <f t="shared" si="6"/>
        <v>0.76765922397894337</v>
      </c>
      <c r="F25" s="150">
        <f t="shared" si="6"/>
        <v>0.84443722652653808</v>
      </c>
      <c r="G25" s="150">
        <f t="shared" si="6"/>
        <v>0.62923836032388658</v>
      </c>
      <c r="H25" s="150">
        <f t="shared" si="6"/>
        <v>0.37166012409775862</v>
      </c>
      <c r="I25" s="218">
        <v>0.35</v>
      </c>
      <c r="J25" s="218">
        <v>0.35</v>
      </c>
      <c r="K25" s="218">
        <v>0.35</v>
      </c>
      <c r="L25" s="218">
        <v>0.35</v>
      </c>
      <c r="M25" s="218">
        <v>0.35</v>
      </c>
      <c r="N25" s="218">
        <v>0.35</v>
      </c>
      <c r="O25" s="218">
        <v>0.35</v>
      </c>
    </row>
    <row r="26" spans="1:15" x14ac:dyDescent="0.6">
      <c r="A26" s="92"/>
      <c r="B26" s="92"/>
      <c r="C26" s="149"/>
      <c r="D26" s="161"/>
      <c r="E26" s="161"/>
      <c r="F26" s="231"/>
      <c r="G26" s="162"/>
      <c r="H26" s="162"/>
      <c r="I26" s="162"/>
      <c r="J26" s="162"/>
      <c r="K26" s="162"/>
      <c r="L26" s="162"/>
      <c r="M26" s="162"/>
      <c r="N26" s="162"/>
      <c r="O26" s="162"/>
    </row>
    <row r="27" spans="1:15" s="84" customFormat="1" x14ac:dyDescent="0.6">
      <c r="A27" s="235" t="s">
        <v>859</v>
      </c>
      <c r="B27" s="475"/>
      <c r="C27" s="476"/>
      <c r="D27" s="477"/>
      <c r="E27" s="477"/>
      <c r="F27" s="478"/>
      <c r="G27" s="479"/>
      <c r="H27" s="479"/>
      <c r="I27" s="479"/>
      <c r="J27" s="479"/>
      <c r="K27" s="479"/>
      <c r="L27" s="479"/>
      <c r="M27" s="479"/>
      <c r="N27" s="479"/>
      <c r="O27" s="479"/>
    </row>
    <row r="28" spans="1:15" x14ac:dyDescent="0.6">
      <c r="A28" t="s">
        <v>105</v>
      </c>
      <c r="B28" s="92"/>
      <c r="C28" s="166">
        <f>C11*Macro!C$4</f>
        <v>0</v>
      </c>
      <c r="D28" s="166">
        <f>D11*Macro!D$4</f>
        <v>0</v>
      </c>
      <c r="E28" s="166">
        <f>E11*Macro!E$4</f>
        <v>226.05644999999998</v>
      </c>
      <c r="F28" s="166">
        <f>F11*Macro!F$4</f>
        <v>5238.1865495000002</v>
      </c>
      <c r="G28" s="166">
        <f>G11*Macro!G$4</f>
        <v>14223.36</v>
      </c>
      <c r="H28" s="166">
        <f>H11*Macro!H$4</f>
        <v>36192.420000000006</v>
      </c>
      <c r="I28" s="262">
        <f t="shared" ref="I28:O28" si="7">I29*I20</f>
        <v>52014.075604615398</v>
      </c>
      <c r="J28" s="262">
        <f t="shared" si="7"/>
        <v>67690.079918999996</v>
      </c>
      <c r="K28" s="262">
        <f t="shared" si="7"/>
        <v>81304.294867061544</v>
      </c>
      <c r="L28" s="262">
        <f t="shared" si="7"/>
        <v>96349.780360502322</v>
      </c>
      <c r="M28" s="262">
        <f t="shared" si="7"/>
        <v>111900.97298009219</v>
      </c>
      <c r="N28" s="262">
        <f t="shared" si="7"/>
        <v>127274.67916217587</v>
      </c>
      <c r="O28" s="262">
        <f t="shared" si="7"/>
        <v>143479.1909064909</v>
      </c>
    </row>
    <row r="29" spans="1:15" x14ac:dyDescent="0.6">
      <c r="A29" s="92" t="s">
        <v>303</v>
      </c>
      <c r="B29" s="92"/>
      <c r="C29" s="150">
        <f t="shared" ref="C29:H29" si="8">C28/C20</f>
        <v>0</v>
      </c>
      <c r="D29" s="150">
        <f t="shared" si="8"/>
        <v>0</v>
      </c>
      <c r="E29" s="220">
        <f t="shared" si="8"/>
        <v>7.7888592454654522E-3</v>
      </c>
      <c r="F29" s="220">
        <f t="shared" si="8"/>
        <v>9.7096293691103008E-2</v>
      </c>
      <c r="G29" s="220">
        <f t="shared" si="8"/>
        <v>0.17573380566801619</v>
      </c>
      <c r="H29" s="220">
        <f t="shared" si="8"/>
        <v>0.31433877843906971</v>
      </c>
      <c r="I29" s="158">
        <f t="shared" ref="I29:O29" si="9">H29</f>
        <v>0.31433877843906971</v>
      </c>
      <c r="J29" s="158">
        <f t="shared" si="9"/>
        <v>0.31433877843906971</v>
      </c>
      <c r="K29" s="158">
        <f t="shared" si="9"/>
        <v>0.31433877843906971</v>
      </c>
      <c r="L29" s="158">
        <f t="shared" si="9"/>
        <v>0.31433877843906971</v>
      </c>
      <c r="M29" s="158">
        <f t="shared" si="9"/>
        <v>0.31433877843906971</v>
      </c>
      <c r="N29" s="158">
        <f t="shared" si="9"/>
        <v>0.31433877843906971</v>
      </c>
      <c r="O29" s="158">
        <f t="shared" si="9"/>
        <v>0.31433877843906971</v>
      </c>
    </row>
    <row r="30" spans="1:15" x14ac:dyDescent="0.6">
      <c r="A30" s="92"/>
      <c r="B30" s="92"/>
      <c r="C30" s="149"/>
      <c r="D30" s="161"/>
      <c r="E30" s="161"/>
      <c r="F30" s="231"/>
      <c r="G30" s="162"/>
      <c r="H30" s="162"/>
      <c r="I30" s="162"/>
      <c r="J30" s="162"/>
      <c r="K30" s="162"/>
      <c r="L30" s="162"/>
      <c r="M30" s="162"/>
      <c r="N30" s="162"/>
      <c r="O30" s="162"/>
    </row>
    <row r="31" spans="1:15" x14ac:dyDescent="0.6">
      <c r="A31" t="s">
        <v>117</v>
      </c>
      <c r="B31" s="92"/>
      <c r="C31" s="166">
        <f>C14*Macro!C$4</f>
        <v>6493.7773200000001</v>
      </c>
      <c r="D31" s="166">
        <f>D14*Macro!D$4</f>
        <v>11997.378550000001</v>
      </c>
      <c r="E31" s="166">
        <f>E14*Macro!E$4</f>
        <v>17311.76671</v>
      </c>
      <c r="F31" s="166">
        <f>F14*Macro!F$4</f>
        <v>27244.888299499999</v>
      </c>
      <c r="G31" s="166">
        <f>G14*Macro!G$4</f>
        <v>36116.480000000003</v>
      </c>
      <c r="H31" s="166">
        <f>H14*Macro!H$4</f>
        <v>47409.3</v>
      </c>
      <c r="I31" s="166">
        <f ca="1">I32*Master!I211</f>
        <v>28624.728019394293</v>
      </c>
      <c r="J31" s="166">
        <f ca="1">J32*Master!J211</f>
        <v>36937.493476586336</v>
      </c>
      <c r="K31" s="166">
        <f ca="1">K32*Master!K211</f>
        <v>44156.92091978911</v>
      </c>
      <c r="L31" s="166">
        <f ca="1">L32*Master!L211</f>
        <v>52135.331080201744</v>
      </c>
      <c r="M31" s="166">
        <f ca="1">M32*Master!M211</f>
        <v>60381.91064433485</v>
      </c>
      <c r="N31" s="166">
        <f ca="1">N32*Master!N211</f>
        <v>68534.371637355565</v>
      </c>
      <c r="O31" s="166">
        <f ca="1">O32*Master!O211</f>
        <v>77127.397179916647</v>
      </c>
    </row>
    <row r="32" spans="1:15" x14ac:dyDescent="0.6">
      <c r="A32" s="92" t="s">
        <v>300</v>
      </c>
      <c r="B32" s="92"/>
      <c r="C32" s="150">
        <f>C31/(Master!C193*Macro!C$4)</f>
        <v>1.0320852321714498</v>
      </c>
      <c r="D32" s="150">
        <f>D31/(Master!D193*Macro!D$4)</f>
        <v>1.068185896285663</v>
      </c>
      <c r="E32" s="150">
        <f>E31/(Master!E193*Macro!E$4)</f>
        <v>1.1452095293753652</v>
      </c>
      <c r="F32" s="150">
        <f>F31/(Master!F193*Macro!F$4)</f>
        <v>1.0212653488128856</v>
      </c>
      <c r="G32" s="150">
        <f>G31/(Master!G193*Macro!G$4)</f>
        <v>0.85679582169318602</v>
      </c>
      <c r="H32" s="150">
        <f>H31/(Master!H193*Macro!H$4)</f>
        <v>0.78580634767198332</v>
      </c>
      <c r="I32" s="158">
        <f t="shared" ref="I32:O32" si="10">H32</f>
        <v>0.78580634767198332</v>
      </c>
      <c r="J32" s="158">
        <f t="shared" si="10"/>
        <v>0.78580634767198332</v>
      </c>
      <c r="K32" s="158">
        <f t="shared" si="10"/>
        <v>0.78580634767198332</v>
      </c>
      <c r="L32" s="158">
        <f t="shared" si="10"/>
        <v>0.78580634767198332</v>
      </c>
      <c r="M32" s="158">
        <f t="shared" si="10"/>
        <v>0.78580634767198332</v>
      </c>
      <c r="N32" s="158">
        <f t="shared" si="10"/>
        <v>0.78580634767198332</v>
      </c>
      <c r="O32" s="158">
        <f t="shared" si="10"/>
        <v>0.78580634767198332</v>
      </c>
    </row>
  </sheetData>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2B893-FEED-42F2-9732-C0534C80D257}">
  <dimension ref="A1:R17"/>
  <sheetViews>
    <sheetView showGridLines="0" zoomScale="76" zoomScaleNormal="80" workbookViewId="0">
      <selection activeCell="H4" sqref="H4"/>
    </sheetView>
  </sheetViews>
  <sheetFormatPr defaultRowHeight="15.6" x14ac:dyDescent="0.6"/>
  <cols>
    <col min="1" max="1" width="18" bestFit="1" customWidth="1"/>
    <col min="17" max="17" width="10.59765625" bestFit="1" customWidth="1"/>
    <col min="18" max="18" width="10.19921875" bestFit="1" customWidth="1"/>
  </cols>
  <sheetData>
    <row r="1" spans="1:18" x14ac:dyDescent="0.6">
      <c r="B1" s="32">
        <v>2017</v>
      </c>
      <c r="C1" s="32">
        <v>2018</v>
      </c>
      <c r="D1" s="32">
        <v>2019</v>
      </c>
      <c r="E1" s="32">
        <v>2020</v>
      </c>
      <c r="F1" s="32">
        <v>2021</v>
      </c>
      <c r="G1" s="32">
        <v>2022</v>
      </c>
      <c r="H1" s="32">
        <v>2023</v>
      </c>
      <c r="I1" s="72">
        <v>2024</v>
      </c>
      <c r="J1" s="72">
        <v>2025</v>
      </c>
      <c r="K1" s="72">
        <v>2026</v>
      </c>
      <c r="L1" s="72">
        <v>2027</v>
      </c>
      <c r="M1" s="72">
        <v>2028</v>
      </c>
      <c r="N1" s="72">
        <v>2029</v>
      </c>
      <c r="O1" s="72">
        <v>2030</v>
      </c>
      <c r="Q1" s="17"/>
      <c r="R1" s="73"/>
    </row>
    <row r="2" spans="1:18" s="17" customFormat="1" ht="14.4" x14ac:dyDescent="0.55000000000000004">
      <c r="A2" s="1144" t="s">
        <v>1885</v>
      </c>
      <c r="B2" s="74">
        <v>9.9299999999999999E-2</v>
      </c>
      <c r="C2" s="74">
        <v>6.4199999999999993E-2</v>
      </c>
      <c r="D2" s="75">
        <v>5.96E-2</v>
      </c>
      <c r="E2" s="75">
        <v>2.7699999999999999E-2</v>
      </c>
      <c r="F2" s="75">
        <v>4.3499999999999997E-2</v>
      </c>
      <c r="G2" s="75">
        <v>0.127</v>
      </c>
      <c r="H2" s="75">
        <f>Quarts!V361</f>
        <v>0.13312499999999999</v>
      </c>
      <c r="I2" s="1149">
        <f>Quarts!AA361</f>
        <v>0.10644999999999999</v>
      </c>
      <c r="J2" s="737">
        <v>0.1</v>
      </c>
      <c r="K2" s="737">
        <v>9.5000000000000001E-2</v>
      </c>
      <c r="L2" s="737">
        <v>0.09</v>
      </c>
      <c r="M2" s="737">
        <v>0.09</v>
      </c>
      <c r="N2" s="737">
        <v>0.09</v>
      </c>
      <c r="O2" s="737">
        <v>0.09</v>
      </c>
    </row>
    <row r="4" spans="1:18" x14ac:dyDescent="0.6">
      <c r="A4" t="s">
        <v>855</v>
      </c>
      <c r="B4" s="348">
        <v>3.3079999999999998</v>
      </c>
      <c r="C4" s="348">
        <v>3.8748</v>
      </c>
      <c r="D4" s="348">
        <v>4.0307000000000004</v>
      </c>
      <c r="E4" s="348">
        <v>5.1966999999999999</v>
      </c>
      <c r="F4" s="348">
        <v>5.5804999999999998</v>
      </c>
      <c r="G4" s="348">
        <v>5.12</v>
      </c>
      <c r="H4" s="348">
        <v>4.8600000000000003</v>
      </c>
      <c r="I4" s="1031">
        <v>5.5</v>
      </c>
      <c r="J4" s="348">
        <f t="shared" ref="J4:O4" si="0">I4</f>
        <v>5.5</v>
      </c>
      <c r="K4" s="348">
        <f t="shared" si="0"/>
        <v>5.5</v>
      </c>
      <c r="L4" s="348">
        <f t="shared" si="0"/>
        <v>5.5</v>
      </c>
      <c r="M4" s="348">
        <f t="shared" si="0"/>
        <v>5.5</v>
      </c>
      <c r="N4" s="348">
        <f t="shared" si="0"/>
        <v>5.5</v>
      </c>
      <c r="O4" s="348">
        <f t="shared" si="0"/>
        <v>5.5</v>
      </c>
    </row>
    <row r="5" spans="1:18" x14ac:dyDescent="0.6">
      <c r="A5" t="s">
        <v>856</v>
      </c>
      <c r="B5" s="348">
        <v>3.1924999999999999</v>
      </c>
      <c r="C5" s="348">
        <v>3.6558000000000002</v>
      </c>
      <c r="D5" s="348">
        <v>3.9460999999999999</v>
      </c>
      <c r="E5" s="348">
        <v>5.1551999999999998</v>
      </c>
      <c r="F5" s="348">
        <v>5.3956</v>
      </c>
      <c r="G5" s="348">
        <v>5.16</v>
      </c>
      <c r="H5" s="348">
        <v>4.99</v>
      </c>
      <c r="I5" s="1031">
        <v>5.4</v>
      </c>
      <c r="J5" s="1031">
        <v>5.56</v>
      </c>
      <c r="K5" s="1031">
        <v>5.56</v>
      </c>
      <c r="L5" s="1031">
        <v>5.56</v>
      </c>
      <c r="M5" s="1031">
        <v>5.56</v>
      </c>
      <c r="N5" s="1031">
        <v>5.56</v>
      </c>
      <c r="O5" s="1031">
        <v>5.56</v>
      </c>
    </row>
    <row r="8" spans="1:18" x14ac:dyDescent="0.6">
      <c r="G8" s="194"/>
    </row>
    <row r="10" spans="1:18" ht="15.9" thickBot="1" x14ac:dyDescent="0.65"/>
    <row r="11" spans="1:18" x14ac:dyDescent="0.6">
      <c r="A11" t="s">
        <v>442</v>
      </c>
      <c r="B11" s="290">
        <v>0.105</v>
      </c>
      <c r="F11" s="1320" t="s">
        <v>443</v>
      </c>
      <c r="G11" s="1321"/>
      <c r="H11" s="1321"/>
      <c r="I11" s="1321"/>
      <c r="J11" s="1321"/>
      <c r="K11" s="1322"/>
    </row>
    <row r="12" spans="1:18" x14ac:dyDescent="0.6">
      <c r="B12" s="290"/>
      <c r="E12" s="291">
        <f>Master!G63</f>
        <v>-7.5953238412574356E-2</v>
      </c>
      <c r="F12" s="297">
        <f>G12-1%</f>
        <v>9.2500000000000013E-2</v>
      </c>
      <c r="G12" s="292">
        <f>H12-1%</f>
        <v>0.10250000000000001</v>
      </c>
      <c r="H12" s="292">
        <v>0.1125</v>
      </c>
      <c r="I12" s="292">
        <f>H12+1%</f>
        <v>0.1225</v>
      </c>
      <c r="J12" s="292">
        <f>I12+1%</f>
        <v>0.13250000000000001</v>
      </c>
      <c r="K12" s="293">
        <f>J12+1%</f>
        <v>0.14250000000000002</v>
      </c>
    </row>
    <row r="13" spans="1:18" x14ac:dyDescent="0.6">
      <c r="E13" s="279"/>
      <c r="F13" s="298">
        <f t="dataTable" ref="F13:K17" dt2D="1" dtr="1" r1="B11" r2="B12"/>
        <v>-7.5953238412574356E-2</v>
      </c>
      <c r="G13" s="111">
        <v>-7.5953238412574356E-2</v>
      </c>
      <c r="H13" s="111">
        <v>-7.5953238412574356E-2</v>
      </c>
      <c r="I13" s="111">
        <v>-7.5953238412574356E-2</v>
      </c>
      <c r="J13" s="111">
        <v>-7.5953238412574356E-2</v>
      </c>
      <c r="K13" s="294">
        <v>-7.5953238412574356E-2</v>
      </c>
    </row>
    <row r="14" spans="1:18" x14ac:dyDescent="0.6">
      <c r="E14" s="279"/>
      <c r="F14" s="298">
        <v>-7.5953238412574356E-2</v>
      </c>
      <c r="G14" s="111">
        <v>-7.5953238412574356E-2</v>
      </c>
      <c r="H14" s="111">
        <v>-7.5953238412574356E-2</v>
      </c>
      <c r="I14" s="111">
        <v>-7.5953238412574356E-2</v>
      </c>
      <c r="J14" s="111">
        <v>-7.5953238412574356E-2</v>
      </c>
      <c r="K14" s="294">
        <v>-7.5953238412574356E-2</v>
      </c>
    </row>
    <row r="15" spans="1:18" x14ac:dyDescent="0.6">
      <c r="E15" s="279"/>
      <c r="F15" s="298">
        <v>-7.5953238412574356E-2</v>
      </c>
      <c r="G15" s="111">
        <v>-7.5953238412574356E-2</v>
      </c>
      <c r="H15" s="111">
        <v>-7.5953238412574356E-2</v>
      </c>
      <c r="I15" s="111">
        <v>-7.5953238412574356E-2</v>
      </c>
      <c r="J15" s="111">
        <v>-7.5953238412574356E-2</v>
      </c>
      <c r="K15" s="294">
        <v>-7.5953238412574356E-2</v>
      </c>
    </row>
    <row r="16" spans="1:18" x14ac:dyDescent="0.6">
      <c r="E16" s="279"/>
      <c r="F16" s="298">
        <v>-7.5953238412574356E-2</v>
      </c>
      <c r="G16" s="111">
        <v>-7.5953238412574356E-2</v>
      </c>
      <c r="H16" s="111">
        <v>-7.5953238412574356E-2</v>
      </c>
      <c r="I16" s="111">
        <v>-7.5953238412574356E-2</v>
      </c>
      <c r="J16" s="111">
        <v>-7.5953238412574356E-2</v>
      </c>
      <c r="K16" s="294">
        <v>-7.5953238412574356E-2</v>
      </c>
    </row>
    <row r="17" spans="5:11" ht="15.9" thickBot="1" x14ac:dyDescent="0.65">
      <c r="E17" s="279"/>
      <c r="F17" s="299">
        <v>-7.5953238412574356E-2</v>
      </c>
      <c r="G17" s="295">
        <v>-7.5953238412574356E-2</v>
      </c>
      <c r="H17" s="295">
        <v>-7.5953238412574356E-2</v>
      </c>
      <c r="I17" s="295">
        <v>-7.5953238412574356E-2</v>
      </c>
      <c r="J17" s="295">
        <v>-7.5953238412574356E-2</v>
      </c>
      <c r="K17" s="296">
        <v>-7.5953238412574356E-2</v>
      </c>
    </row>
  </sheetData>
  <mergeCells count="1">
    <mergeCell ref="F11:K11"/>
  </mergeCells>
  <conditionalFormatting sqref="F13:K17">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2DD24-1621-4A0E-AFD4-7206B5746650}">
  <dimension ref="B2:AN224"/>
  <sheetViews>
    <sheetView showGridLines="0" zoomScale="80" zoomScaleNormal="80" workbookViewId="0">
      <selection activeCell="H28" sqref="H28"/>
    </sheetView>
  </sheetViews>
  <sheetFormatPr defaultRowHeight="15.6" outlineLevelRow="1" outlineLevelCol="1" x14ac:dyDescent="0.6"/>
  <cols>
    <col min="2" max="2" width="54.69921875" customWidth="1"/>
    <col min="3" max="3" width="9.09765625" hidden="1" customWidth="1"/>
    <col min="4" max="6" width="9.19921875" customWidth="1"/>
    <col min="7" max="14" width="9.09765625" customWidth="1"/>
    <col min="16" max="29" width="8.69921875" hidden="1" customWidth="1" outlineLevel="1"/>
    <col min="30" max="30" width="8.69921875" collapsed="1"/>
  </cols>
  <sheetData>
    <row r="2" spans="2:40" x14ac:dyDescent="0.6">
      <c r="B2" s="128" t="s">
        <v>136</v>
      </c>
      <c r="C2" s="128">
        <v>2019</v>
      </c>
      <c r="D2" s="128">
        <f>C2+1</f>
        <v>2020</v>
      </c>
      <c r="E2" s="128">
        <f t="shared" ref="E2:N2" si="0">D2+1</f>
        <v>2021</v>
      </c>
      <c r="F2" s="128">
        <f t="shared" si="0"/>
        <v>2022</v>
      </c>
      <c r="G2" s="128">
        <f t="shared" si="0"/>
        <v>2023</v>
      </c>
      <c r="H2" s="128">
        <f t="shared" si="0"/>
        <v>2024</v>
      </c>
      <c r="I2" s="128">
        <f t="shared" si="0"/>
        <v>2025</v>
      </c>
      <c r="J2" s="128">
        <f t="shared" si="0"/>
        <v>2026</v>
      </c>
      <c r="K2" s="128">
        <f t="shared" si="0"/>
        <v>2027</v>
      </c>
      <c r="L2" s="128">
        <f t="shared" si="0"/>
        <v>2028</v>
      </c>
      <c r="M2" s="128">
        <f t="shared" si="0"/>
        <v>2029</v>
      </c>
      <c r="N2" s="128">
        <f t="shared" si="0"/>
        <v>2030</v>
      </c>
      <c r="O2" s="79"/>
      <c r="P2" s="349">
        <v>2019</v>
      </c>
      <c r="Q2" s="349">
        <v>2020</v>
      </c>
      <c r="R2" s="349">
        <v>2021</v>
      </c>
      <c r="S2" s="349">
        <v>2022</v>
      </c>
      <c r="T2" s="349">
        <v>2023</v>
      </c>
      <c r="U2" s="349">
        <v>2024</v>
      </c>
      <c r="V2" s="349">
        <v>2025</v>
      </c>
      <c r="W2" s="349">
        <v>2026</v>
      </c>
      <c r="X2" s="349">
        <v>2027</v>
      </c>
      <c r="Y2" s="349">
        <v>2028</v>
      </c>
      <c r="Z2" s="349">
        <v>2029</v>
      </c>
      <c r="AA2" s="349">
        <v>2030</v>
      </c>
      <c r="AC2" s="235">
        <v>2019</v>
      </c>
      <c r="AD2" s="235">
        <f t="shared" ref="AD2:AN2" si="1">AC2+1</f>
        <v>2020</v>
      </c>
      <c r="AE2" s="235">
        <f t="shared" si="1"/>
        <v>2021</v>
      </c>
      <c r="AF2" s="235">
        <f t="shared" si="1"/>
        <v>2022</v>
      </c>
      <c r="AG2" s="235">
        <f t="shared" si="1"/>
        <v>2023</v>
      </c>
      <c r="AH2" s="235">
        <f t="shared" si="1"/>
        <v>2024</v>
      </c>
      <c r="AI2" s="235">
        <f t="shared" si="1"/>
        <v>2025</v>
      </c>
      <c r="AJ2" s="235">
        <f t="shared" si="1"/>
        <v>2026</v>
      </c>
      <c r="AK2" s="235">
        <f t="shared" si="1"/>
        <v>2027</v>
      </c>
      <c r="AL2" s="235">
        <f t="shared" si="1"/>
        <v>2028</v>
      </c>
      <c r="AM2" s="235">
        <f t="shared" si="1"/>
        <v>2029</v>
      </c>
      <c r="AN2" s="235">
        <f t="shared" si="1"/>
        <v>2030</v>
      </c>
    </row>
    <row r="3" spans="2:40" x14ac:dyDescent="0.6">
      <c r="B3" s="77" t="s">
        <v>366</v>
      </c>
      <c r="C3" s="428">
        <f>Drivers!D8</f>
        <v>12.1</v>
      </c>
      <c r="D3" s="428">
        <f>Drivers!E8</f>
        <v>21.8</v>
      </c>
      <c r="E3" s="428">
        <f>Drivers!F8</f>
        <v>41.1</v>
      </c>
      <c r="F3" s="428">
        <f>Drivers!G8</f>
        <v>61.2</v>
      </c>
      <c r="G3" s="428">
        <f>Drivers!H8</f>
        <v>78</v>
      </c>
      <c r="H3" s="428">
        <f>Drivers!I8</f>
        <v>94.2</v>
      </c>
      <c r="I3" s="428">
        <f>Drivers!J8</f>
        <v>106.6</v>
      </c>
      <c r="J3" s="428">
        <f>Drivers!K8</f>
        <v>116.39999999999999</v>
      </c>
      <c r="K3" s="428">
        <f>Drivers!L8</f>
        <v>125.39999999999999</v>
      </c>
      <c r="L3" s="428">
        <f>Drivers!M8</f>
        <v>132.4</v>
      </c>
      <c r="M3" s="428">
        <f>Drivers!N8</f>
        <v>136.9</v>
      </c>
      <c r="N3" s="428">
        <f>Drivers!O8</f>
        <v>140.30000000000001</v>
      </c>
      <c r="O3" s="79"/>
      <c r="P3" s="350">
        <v>12.1</v>
      </c>
      <c r="Q3" s="350">
        <v>21.8</v>
      </c>
      <c r="R3" s="350">
        <v>40.884435504561836</v>
      </c>
      <c r="S3" s="350">
        <v>48.381043136743557</v>
      </c>
      <c r="T3" s="350">
        <v>52.682959048576805</v>
      </c>
      <c r="U3" s="350">
        <v>56.740091374054373</v>
      </c>
      <c r="V3" s="350">
        <v>60.276247890001081</v>
      </c>
      <c r="W3" s="350">
        <v>63.951505090400182</v>
      </c>
      <c r="X3" s="350">
        <v>66.994484432689291</v>
      </c>
      <c r="Y3" s="350">
        <v>70.866869160797748</v>
      </c>
      <c r="Z3" s="350">
        <v>74.541473579775513</v>
      </c>
      <c r="AA3" s="350">
        <v>78.238817387428554</v>
      </c>
      <c r="AE3" s="361"/>
      <c r="AF3" s="361">
        <f t="shared" ref="AF3:AF65" si="2">F3/S3-1</f>
        <v>0.26495825703933473</v>
      </c>
      <c r="AG3" s="361">
        <f t="shared" ref="AG3:AG65" si="3">G3/T3-1</f>
        <v>0.48055465009244047</v>
      </c>
      <c r="AH3" s="361">
        <f t="shared" ref="AH3:AH65" si="4">H3/U3-1</f>
        <v>0.66020176772353567</v>
      </c>
      <c r="AI3" s="361">
        <f t="shared" ref="AI3:AI65" si="5">I3/V3-1</f>
        <v>0.76852414892406284</v>
      </c>
      <c r="AJ3" s="361">
        <f t="shared" ref="AJ3:AJ65" si="6">J3/W3-1</f>
        <v>0.82012917186952805</v>
      </c>
      <c r="AK3" s="361">
        <f t="shared" ref="AK3:AK65" si="7">K3/X3-1</f>
        <v>0.87179588083839787</v>
      </c>
      <c r="AL3" s="361">
        <f t="shared" ref="AL3:AL65" si="8">L3/Y3-1</f>
        <v>0.86829193342213085</v>
      </c>
      <c r="AM3" s="361">
        <f t="shared" ref="AM3:AM65" si="9">M3/Z3-1</f>
        <v>0.83656149289143533</v>
      </c>
      <c r="AN3" s="361">
        <f t="shared" ref="AN3:AN65" si="10">N3/AA3-1</f>
        <v>0.79322751397496805</v>
      </c>
    </row>
    <row r="4" spans="2:40" x14ac:dyDescent="0.6">
      <c r="B4" s="79"/>
      <c r="C4" s="155"/>
      <c r="D4" s="155"/>
      <c r="E4" s="155"/>
      <c r="F4" s="155"/>
      <c r="G4" s="155"/>
      <c r="H4" s="155"/>
      <c r="I4" s="155"/>
      <c r="J4" s="155"/>
      <c r="K4" s="155"/>
      <c r="L4" s="155"/>
      <c r="M4" s="155"/>
      <c r="N4" s="155"/>
      <c r="O4" s="79"/>
      <c r="P4" s="350"/>
      <c r="Q4" s="350"/>
      <c r="R4" s="350"/>
      <c r="S4" s="350"/>
      <c r="T4" s="350"/>
      <c r="U4" s="350"/>
      <c r="V4" s="350"/>
      <c r="W4" s="350"/>
      <c r="X4" s="350"/>
      <c r="Y4" s="350"/>
      <c r="Z4" s="350"/>
      <c r="AA4" s="350"/>
      <c r="AE4" s="361"/>
      <c r="AF4" s="361"/>
      <c r="AG4" s="361"/>
      <c r="AH4" s="361"/>
      <c r="AI4" s="361"/>
      <c r="AJ4" s="361"/>
      <c r="AK4" s="361"/>
      <c r="AL4" s="361"/>
      <c r="AM4" s="361"/>
      <c r="AN4" s="361"/>
    </row>
    <row r="5" spans="2:40" hidden="1" outlineLevel="1" x14ac:dyDescent="0.6">
      <c r="B5" s="82" t="s">
        <v>367</v>
      </c>
      <c r="C5" s="155"/>
      <c r="D5" s="155"/>
      <c r="E5" s="155"/>
      <c r="F5" s="155"/>
      <c r="G5" s="155"/>
      <c r="H5" s="155"/>
      <c r="I5" s="155"/>
      <c r="J5" s="155"/>
      <c r="K5" s="155"/>
      <c r="L5" s="155"/>
      <c r="M5" s="155"/>
      <c r="N5" s="155"/>
      <c r="O5" s="79"/>
      <c r="P5" s="350"/>
      <c r="Q5" s="350"/>
      <c r="R5" s="350"/>
      <c r="S5" s="350"/>
      <c r="T5" s="350"/>
      <c r="U5" s="350"/>
      <c r="V5" s="350"/>
      <c r="W5" s="350"/>
      <c r="X5" s="350"/>
      <c r="Y5" s="350"/>
      <c r="Z5" s="350"/>
      <c r="AA5" s="350"/>
      <c r="AE5" s="361"/>
      <c r="AF5" s="361"/>
      <c r="AG5" s="361"/>
      <c r="AH5" s="361"/>
      <c r="AI5" s="361"/>
      <c r="AJ5" s="361"/>
      <c r="AK5" s="361"/>
      <c r="AL5" s="361"/>
      <c r="AM5" s="361"/>
      <c r="AN5" s="361"/>
    </row>
    <row r="6" spans="2:40" hidden="1" outlineLevel="1" x14ac:dyDescent="0.6">
      <c r="B6" s="79" t="s">
        <v>228</v>
      </c>
      <c r="C6" s="155">
        <f>C23</f>
        <v>8.7724999999999991</v>
      </c>
      <c r="D6" s="155">
        <f t="shared" ref="D6:N6" si="11">D23</f>
        <v>14.2</v>
      </c>
      <c r="E6" s="155">
        <f t="shared" si="11"/>
        <v>23.3</v>
      </c>
      <c r="F6" s="155">
        <f t="shared" si="11"/>
        <v>30.4</v>
      </c>
      <c r="G6" s="155">
        <f t="shared" si="11"/>
        <v>37.5</v>
      </c>
      <c r="H6" s="155">
        <f t="shared" si="11"/>
        <v>44.484440894568692</v>
      </c>
      <c r="I6" s="155">
        <f t="shared" si="11"/>
        <v>48.563769968051119</v>
      </c>
      <c r="J6" s="155">
        <f t="shared" si="11"/>
        <v>52.602428115015975</v>
      </c>
      <c r="K6" s="155">
        <f t="shared" si="11"/>
        <v>56.221086261980822</v>
      </c>
      <c r="L6" s="155">
        <f t="shared" si="11"/>
        <v>59.35974440894568</v>
      </c>
      <c r="M6" s="155">
        <f t="shared" si="11"/>
        <v>62.578402555910543</v>
      </c>
      <c r="N6" s="155">
        <f t="shared" si="11"/>
        <v>65.877060702875397</v>
      </c>
      <c r="O6" s="79"/>
      <c r="P6" s="350">
        <v>8.7724999999999991</v>
      </c>
      <c r="Q6" s="350">
        <v>15.805</v>
      </c>
      <c r="R6" s="350">
        <v>28.689754054907329</v>
      </c>
      <c r="S6" s="350">
        <v>33.513763935873953</v>
      </c>
      <c r="T6" s="350">
        <v>36.170154753441253</v>
      </c>
      <c r="U6" s="350">
        <v>38.899725100072686</v>
      </c>
      <c r="V6" s="350">
        <v>41.130535940250873</v>
      </c>
      <c r="W6" s="350">
        <v>43.370128366740154</v>
      </c>
      <c r="X6" s="350">
        <v>45.616374426552461</v>
      </c>
      <c r="Y6" s="350">
        <v>47.867831951002088</v>
      </c>
      <c r="Z6" s="350">
        <v>50.12326388980582</v>
      </c>
      <c r="AA6" s="350">
        <v>52.381395143999995</v>
      </c>
      <c r="AE6" s="361"/>
      <c r="AF6" s="361"/>
      <c r="AG6" s="361"/>
      <c r="AH6" s="361"/>
      <c r="AI6" s="361"/>
      <c r="AJ6" s="361"/>
      <c r="AK6" s="361"/>
      <c r="AL6" s="361"/>
      <c r="AM6" s="361"/>
      <c r="AN6" s="361"/>
    </row>
    <row r="7" spans="2:40" hidden="1" outlineLevel="1" x14ac:dyDescent="0.6">
      <c r="B7" s="79" t="s">
        <v>229</v>
      </c>
      <c r="C7" s="155">
        <f>C31</f>
        <v>0</v>
      </c>
      <c r="D7" s="155">
        <f t="shared" ref="D7:N7" si="12">D31</f>
        <v>0</v>
      </c>
      <c r="E7" s="155">
        <f t="shared" si="12"/>
        <v>0.96077922077922084</v>
      </c>
      <c r="F7" s="155">
        <f t="shared" si="12"/>
        <v>2.3626809651474536</v>
      </c>
      <c r="G7" s="155">
        <f t="shared" si="12"/>
        <v>3.887539936102236</v>
      </c>
      <c r="H7" s="155">
        <f t="shared" si="12"/>
        <v>4.6597444089456861</v>
      </c>
      <c r="I7" s="155">
        <f t="shared" si="12"/>
        <v>8.732108626198082</v>
      </c>
      <c r="J7" s="155">
        <f t="shared" si="12"/>
        <v>13.410862619808306</v>
      </c>
      <c r="K7" s="155">
        <f t="shared" si="12"/>
        <v>17.723642172523959</v>
      </c>
      <c r="L7" s="155">
        <f t="shared" si="12"/>
        <v>20.52364217252396</v>
      </c>
      <c r="M7" s="155">
        <f t="shared" si="12"/>
        <v>21.923642172523959</v>
      </c>
      <c r="N7" s="155">
        <f t="shared" si="12"/>
        <v>22.623642172523958</v>
      </c>
      <c r="O7" s="79"/>
      <c r="P7" s="350">
        <v>0</v>
      </c>
      <c r="Q7" s="350">
        <v>0</v>
      </c>
      <c r="R7" s="350">
        <v>0.90532242900000015</v>
      </c>
      <c r="S7" s="350">
        <v>1.9892291579999999</v>
      </c>
      <c r="T7" s="350">
        <v>3.1401902755200006</v>
      </c>
      <c r="U7" s="350">
        <v>4.2421133515599996</v>
      </c>
      <c r="V7" s="350">
        <v>5.5195898111999986</v>
      </c>
      <c r="W7" s="350">
        <v>6.9759413762399989</v>
      </c>
      <c r="X7" s="350">
        <v>7.9682244774699997</v>
      </c>
      <c r="Y7" s="350">
        <v>9.0143547886800022</v>
      </c>
      <c r="Z7" s="350">
        <v>10.114822126500002</v>
      </c>
      <c r="AA7" s="350">
        <v>11.27006104</v>
      </c>
      <c r="AE7" s="361"/>
      <c r="AF7" s="361"/>
      <c r="AG7" s="361"/>
      <c r="AH7" s="361"/>
      <c r="AI7" s="361"/>
      <c r="AJ7" s="361"/>
      <c r="AK7" s="361"/>
      <c r="AL7" s="361"/>
      <c r="AM7" s="361"/>
      <c r="AN7" s="361"/>
    </row>
    <row r="8" spans="2:40" hidden="1" outlineLevel="1" x14ac:dyDescent="0.6">
      <c r="B8" s="81" t="s">
        <v>230</v>
      </c>
      <c r="C8" s="429">
        <f>C39</f>
        <v>0</v>
      </c>
      <c r="D8" s="429">
        <f t="shared" ref="D8:N8" si="13">D39</f>
        <v>0</v>
      </c>
      <c r="E8" s="429">
        <f t="shared" si="13"/>
        <v>3.8126159554731018E-2</v>
      </c>
      <c r="F8" s="429">
        <f t="shared" si="13"/>
        <v>0.20509383378015614</v>
      </c>
      <c r="G8" s="429">
        <f t="shared" si="13"/>
        <v>0.37380191693291076</v>
      </c>
      <c r="H8" s="429">
        <f t="shared" si="13"/>
        <v>0.47380191693291074</v>
      </c>
      <c r="I8" s="429">
        <f t="shared" si="13"/>
        <v>0.6738019169329108</v>
      </c>
      <c r="J8" s="429">
        <f t="shared" si="13"/>
        <v>1.0738019169329109</v>
      </c>
      <c r="K8" s="429">
        <f t="shared" si="13"/>
        <v>1.5738019169329109</v>
      </c>
      <c r="L8" s="429">
        <f t="shared" si="13"/>
        <v>2.0738019169329109</v>
      </c>
      <c r="M8" s="429">
        <f t="shared" si="13"/>
        <v>2.3238019169329109</v>
      </c>
      <c r="N8" s="429">
        <f t="shared" si="13"/>
        <v>2.5238019169329111</v>
      </c>
      <c r="O8" s="79"/>
      <c r="P8" s="351">
        <v>0</v>
      </c>
      <c r="Q8" s="351">
        <v>0</v>
      </c>
      <c r="R8" s="351">
        <v>4.6139256900000002E-2</v>
      </c>
      <c r="S8" s="351">
        <v>0.54088404300000004</v>
      </c>
      <c r="T8" s="351">
        <v>0.99211864319999987</v>
      </c>
      <c r="U8" s="351">
        <v>1.399133277</v>
      </c>
      <c r="V8" s="351">
        <v>1.8722538000000002</v>
      </c>
      <c r="W8" s="351">
        <v>2.4139219566000008</v>
      </c>
      <c r="X8" s="351">
        <v>3.0257404416000009</v>
      </c>
      <c r="Y8" s="351">
        <v>3.7089863928000013</v>
      </c>
      <c r="Z8" s="351">
        <v>4.2402886302000011</v>
      </c>
      <c r="AA8" s="351">
        <v>4.8075090300000003</v>
      </c>
      <c r="AE8" s="361"/>
      <c r="AF8" s="361"/>
      <c r="AG8" s="361"/>
      <c r="AH8" s="361"/>
      <c r="AI8" s="361"/>
      <c r="AJ8" s="361"/>
      <c r="AK8" s="361"/>
      <c r="AL8" s="361"/>
      <c r="AM8" s="361"/>
      <c r="AN8" s="361"/>
    </row>
    <row r="9" spans="2:40" hidden="1" outlineLevel="1" x14ac:dyDescent="0.6">
      <c r="B9" s="79" t="s">
        <v>345</v>
      </c>
      <c r="C9" s="155">
        <f>Drivers!D29</f>
        <v>8.7724999999999991</v>
      </c>
      <c r="D9" s="155">
        <f>Drivers!E29</f>
        <v>14.2</v>
      </c>
      <c r="E9" s="155">
        <f>Drivers!F29</f>
        <v>24.298905380333952</v>
      </c>
      <c r="F9" s="155">
        <f>Drivers!G29</f>
        <v>34</v>
      </c>
      <c r="G9" s="155">
        <f>Drivers!H29</f>
        <v>40.6</v>
      </c>
      <c r="H9" s="155">
        <f>Drivers!I29</f>
        <v>49.61798722044729</v>
      </c>
      <c r="I9" s="155">
        <f>Drivers!J29</f>
        <v>57.969680511182112</v>
      </c>
      <c r="J9" s="155">
        <f>Drivers!K29</f>
        <v>67.087092651757189</v>
      </c>
      <c r="K9" s="155">
        <f>Drivers!L29</f>
        <v>75.51853035143769</v>
      </c>
      <c r="L9" s="155">
        <f>Drivers!M29</f>
        <v>81.957188498402544</v>
      </c>
      <c r="M9" s="155">
        <f>Drivers!N29</f>
        <v>86.825846645367406</v>
      </c>
      <c r="N9" s="155">
        <f>Drivers!O29</f>
        <v>91.024504792332266</v>
      </c>
      <c r="O9" s="79"/>
      <c r="P9" s="350">
        <v>8.7724999999999991</v>
      </c>
      <c r="Q9" s="350">
        <v>15.805</v>
      </c>
      <c r="R9" s="350">
        <v>29.641215740807329</v>
      </c>
      <c r="S9" s="350">
        <v>36.043877136873952</v>
      </c>
      <c r="T9" s="350">
        <v>40.302463672161252</v>
      </c>
      <c r="U9" s="350">
        <v>44.540971728632684</v>
      </c>
      <c r="V9" s="350">
        <v>48.522379551450875</v>
      </c>
      <c r="W9" s="350">
        <v>52.759991699580155</v>
      </c>
      <c r="X9" s="350">
        <v>56.610339345622464</v>
      </c>
      <c r="Y9" s="350">
        <v>60.591173132482091</v>
      </c>
      <c r="Z9" s="350">
        <v>64.478374646505827</v>
      </c>
      <c r="AA9" s="350">
        <v>68.458965214000003</v>
      </c>
      <c r="AE9" s="361"/>
      <c r="AF9" s="361"/>
      <c r="AG9" s="361"/>
      <c r="AH9" s="361"/>
      <c r="AI9" s="361"/>
      <c r="AJ9" s="361"/>
      <c r="AK9" s="361"/>
      <c r="AL9" s="361"/>
      <c r="AM9" s="361"/>
      <c r="AN9" s="361"/>
    </row>
    <row r="10" spans="2:40" hidden="1" outlineLevel="1" x14ac:dyDescent="0.6">
      <c r="B10" s="79" t="s">
        <v>346</v>
      </c>
      <c r="C10" s="309">
        <f>C9/C3</f>
        <v>0.72499999999999998</v>
      </c>
      <c r="D10" s="309">
        <f t="shared" ref="D10:N10" si="14">D9/D3</f>
        <v>0.65137614678899081</v>
      </c>
      <c r="E10" s="309">
        <f t="shared" si="14"/>
        <v>0.59121424283050972</v>
      </c>
      <c r="F10" s="309">
        <f t="shared" si="14"/>
        <v>0.55555555555555558</v>
      </c>
      <c r="G10" s="309">
        <f t="shared" si="14"/>
        <v>0.52051282051282055</v>
      </c>
      <c r="H10" s="309">
        <f t="shared" si="14"/>
        <v>0.52673022527014102</v>
      </c>
      <c r="I10" s="309">
        <f t="shared" si="14"/>
        <v>0.54380563331315301</v>
      </c>
      <c r="J10" s="309">
        <f t="shared" si="14"/>
        <v>0.5763495932281546</v>
      </c>
      <c r="K10" s="309">
        <f t="shared" si="14"/>
        <v>0.60222113517892895</v>
      </c>
      <c r="L10" s="309">
        <f t="shared" si="14"/>
        <v>0.6190119977220736</v>
      </c>
      <c r="M10" s="309">
        <f t="shared" si="14"/>
        <v>0.63422824430509428</v>
      </c>
      <c r="N10" s="309">
        <f t="shared" si="14"/>
        <v>0.64878478112852644</v>
      </c>
      <c r="O10" s="79"/>
      <c r="P10" s="352">
        <v>0.72499999999999998</v>
      </c>
      <c r="Q10" s="352">
        <v>0.72499999999999998</v>
      </c>
      <c r="R10" s="352">
        <v>0.72499999999999998</v>
      </c>
      <c r="S10" s="352">
        <v>0.745</v>
      </c>
      <c r="T10" s="352">
        <v>0.7649999999999999</v>
      </c>
      <c r="U10" s="352">
        <v>0.78500000000000003</v>
      </c>
      <c r="V10" s="352">
        <v>0.80500000000000005</v>
      </c>
      <c r="W10" s="352">
        <v>0.82500000000000007</v>
      </c>
      <c r="X10" s="352">
        <v>0.8450000000000002</v>
      </c>
      <c r="Y10" s="352">
        <v>0.8550000000000002</v>
      </c>
      <c r="Z10" s="352">
        <v>0.8650000000000001</v>
      </c>
      <c r="AA10" s="352">
        <v>0.87500000000000022</v>
      </c>
      <c r="AE10" s="361"/>
      <c r="AF10" s="361"/>
      <c r="AG10" s="361"/>
      <c r="AH10" s="361"/>
      <c r="AI10" s="361"/>
      <c r="AJ10" s="361"/>
      <c r="AK10" s="361"/>
      <c r="AL10" s="361"/>
      <c r="AM10" s="361"/>
      <c r="AN10" s="361"/>
    </row>
    <row r="11" spans="2:40" hidden="1" outlineLevel="1" x14ac:dyDescent="0.6">
      <c r="B11" s="79"/>
      <c r="C11" s="79"/>
      <c r="D11" s="79"/>
      <c r="E11" s="79"/>
      <c r="F11" s="79"/>
      <c r="G11" s="79"/>
      <c r="H11" s="79"/>
      <c r="I11" s="79"/>
      <c r="J11" s="79"/>
      <c r="K11" s="79"/>
      <c r="L11" s="79"/>
      <c r="M11" s="79"/>
      <c r="N11" s="79"/>
      <c r="O11" s="79"/>
      <c r="P11" s="353"/>
      <c r="Q11" s="353"/>
      <c r="R11" s="353"/>
      <c r="S11" s="353"/>
      <c r="T11" s="353"/>
      <c r="U11" s="353"/>
      <c r="V11" s="353"/>
      <c r="W11" s="353"/>
      <c r="X11" s="353"/>
      <c r="Y11" s="353"/>
      <c r="Z11" s="353"/>
      <c r="AA11" s="353"/>
      <c r="AE11" s="361"/>
      <c r="AF11" s="361"/>
      <c r="AG11" s="361"/>
      <c r="AH11" s="361"/>
      <c r="AI11" s="361"/>
      <c r="AJ11" s="361"/>
      <c r="AK11" s="361"/>
      <c r="AL11" s="361"/>
      <c r="AM11" s="361"/>
      <c r="AN11" s="361"/>
    </row>
    <row r="12" spans="2:40" hidden="1" outlineLevel="1" x14ac:dyDescent="0.6">
      <c r="B12" s="82" t="s">
        <v>352</v>
      </c>
      <c r="C12" s="79"/>
      <c r="D12" s="79"/>
      <c r="E12" s="79"/>
      <c r="F12" s="79"/>
      <c r="G12" s="79"/>
      <c r="H12" s="79"/>
      <c r="I12" s="79"/>
      <c r="J12" s="79"/>
      <c r="K12" s="79"/>
      <c r="L12" s="79"/>
      <c r="M12" s="79"/>
      <c r="N12" s="79"/>
      <c r="O12" s="79"/>
      <c r="P12" s="353"/>
      <c r="Q12" s="353"/>
      <c r="R12" s="353"/>
      <c r="S12" s="353"/>
      <c r="T12" s="353"/>
      <c r="U12" s="353"/>
      <c r="V12" s="353"/>
      <c r="W12" s="353"/>
      <c r="X12" s="353"/>
      <c r="Y12" s="353"/>
      <c r="Z12" s="353"/>
      <c r="AA12" s="353"/>
      <c r="AE12" s="361"/>
      <c r="AF12" s="361"/>
      <c r="AG12" s="361"/>
      <c r="AH12" s="361"/>
      <c r="AI12" s="361"/>
      <c r="AJ12" s="361"/>
      <c r="AK12" s="361"/>
      <c r="AL12" s="361"/>
      <c r="AM12" s="361"/>
      <c r="AN12" s="361"/>
    </row>
    <row r="13" spans="2:40" hidden="1" outlineLevel="1" x14ac:dyDescent="0.6">
      <c r="B13" s="79" t="str">
        <f>B6</f>
        <v>Brazil</v>
      </c>
      <c r="C13" s="309">
        <f>C6/C$9</f>
        <v>1</v>
      </c>
      <c r="D13" s="309">
        <f t="shared" ref="D13:N13" si="15">D6/D$9</f>
        <v>1</v>
      </c>
      <c r="E13" s="309">
        <f t="shared" si="15"/>
        <v>0.95889093090002298</v>
      </c>
      <c r="F13" s="309">
        <f t="shared" si="15"/>
        <v>0.89411764705882346</v>
      </c>
      <c r="G13" s="309">
        <f t="shared" si="15"/>
        <v>0.92364532019704426</v>
      </c>
      <c r="H13" s="309">
        <f t="shared" si="15"/>
        <v>0.89653860195757618</v>
      </c>
      <c r="I13" s="309">
        <f t="shared" si="15"/>
        <v>0.83774430943574663</v>
      </c>
      <c r="J13" s="309">
        <f t="shared" si="15"/>
        <v>0.78409163425921957</v>
      </c>
      <c r="K13" s="309">
        <f t="shared" si="15"/>
        <v>0.74446743071332178</v>
      </c>
      <c r="L13" s="309">
        <f t="shared" si="15"/>
        <v>0.72427746115403513</v>
      </c>
      <c r="M13" s="309">
        <f t="shared" si="15"/>
        <v>0.72073472328472155</v>
      </c>
      <c r="N13" s="309">
        <f t="shared" si="15"/>
        <v>0.72372885579735402</v>
      </c>
      <c r="O13" s="79"/>
      <c r="P13" s="352">
        <v>1</v>
      </c>
      <c r="Q13" s="352">
        <v>1</v>
      </c>
      <c r="R13" s="352">
        <v>0.96790071992255988</v>
      </c>
      <c r="S13" s="352">
        <v>0.92980463252074463</v>
      </c>
      <c r="T13" s="352">
        <v>0.89746758529865323</v>
      </c>
      <c r="U13" s="352">
        <v>0.8733470238833253</v>
      </c>
      <c r="V13" s="352">
        <v>0.84766114771098489</v>
      </c>
      <c r="W13" s="352">
        <v>0.82202682315974052</v>
      </c>
      <c r="X13" s="352">
        <v>0.80579581316500026</v>
      </c>
      <c r="Y13" s="352">
        <v>0.7900132886739043</v>
      </c>
      <c r="Z13" s="352">
        <v>0.77736549912431874</v>
      </c>
      <c r="AA13" s="352">
        <v>0.7651502616239938</v>
      </c>
      <c r="AE13" s="361"/>
      <c r="AF13" s="361"/>
      <c r="AG13" s="361"/>
      <c r="AH13" s="361"/>
      <c r="AI13" s="361"/>
      <c r="AJ13" s="361"/>
      <c r="AK13" s="361"/>
      <c r="AL13" s="361"/>
      <c r="AM13" s="361"/>
      <c r="AN13" s="361"/>
    </row>
    <row r="14" spans="2:40" hidden="1" outlineLevel="1" x14ac:dyDescent="0.6">
      <c r="B14" s="79" t="str">
        <f>B7</f>
        <v>Mexico</v>
      </c>
      <c r="C14" s="309">
        <f t="shared" ref="C14:N16" si="16">C7/C$9</f>
        <v>0</v>
      </c>
      <c r="D14" s="309">
        <f t="shared" si="16"/>
        <v>0</v>
      </c>
      <c r="E14" s="309">
        <f t="shared" si="16"/>
        <v>3.9540020661046602E-2</v>
      </c>
      <c r="F14" s="309">
        <f t="shared" si="16"/>
        <v>6.9490616621983928E-2</v>
      </c>
      <c r="G14" s="309">
        <f t="shared" si="16"/>
        <v>9.5752215174931918E-2</v>
      </c>
      <c r="H14" s="309">
        <f t="shared" si="16"/>
        <v>9.3912402940549589E-2</v>
      </c>
      <c r="I14" s="309">
        <f t="shared" si="16"/>
        <v>0.1506323400301248</v>
      </c>
      <c r="J14" s="309">
        <f t="shared" si="16"/>
        <v>0.19990227761728827</v>
      </c>
      <c r="K14" s="309">
        <f t="shared" si="16"/>
        <v>0.23469262563829202</v>
      </c>
      <c r="L14" s="309">
        <f t="shared" si="16"/>
        <v>0.25041906083593868</v>
      </c>
      <c r="M14" s="309">
        <f t="shared" si="16"/>
        <v>0.25250133479341885</v>
      </c>
      <c r="N14" s="309">
        <f t="shared" si="16"/>
        <v>0.2485445235229638</v>
      </c>
      <c r="O14" s="79"/>
      <c r="P14" s="352">
        <v>0</v>
      </c>
      <c r="Q14" s="352">
        <v>0</v>
      </c>
      <c r="R14" s="352">
        <v>3.054268883288868E-2</v>
      </c>
      <c r="S14" s="352">
        <v>5.5189100507862944E-2</v>
      </c>
      <c r="T14" s="352">
        <v>7.7915590993735531E-2</v>
      </c>
      <c r="U14" s="352">
        <v>9.5240700571267572E-2</v>
      </c>
      <c r="V14" s="352">
        <v>0.11375348575696462</v>
      </c>
      <c r="W14" s="352">
        <v>0.13222028949438805</v>
      </c>
      <c r="X14" s="352">
        <v>0.14075563880339401</v>
      </c>
      <c r="Y14" s="352">
        <v>0.14877339920404234</v>
      </c>
      <c r="Z14" s="352">
        <v>0.15687154308639414</v>
      </c>
      <c r="AA14" s="352">
        <v>0.16462505684639311</v>
      </c>
      <c r="AE14" s="361"/>
      <c r="AF14" s="361"/>
      <c r="AG14" s="361"/>
      <c r="AH14" s="361"/>
      <c r="AI14" s="361"/>
      <c r="AJ14" s="361"/>
      <c r="AK14" s="361"/>
      <c r="AL14" s="361"/>
      <c r="AM14" s="361"/>
      <c r="AN14" s="361"/>
    </row>
    <row r="15" spans="2:40" hidden="1" outlineLevel="1" x14ac:dyDescent="0.6">
      <c r="B15" s="81" t="str">
        <f>B8</f>
        <v>Colombia</v>
      </c>
      <c r="C15" s="311">
        <f t="shared" si="16"/>
        <v>0</v>
      </c>
      <c r="D15" s="311">
        <f t="shared" si="16"/>
        <v>0</v>
      </c>
      <c r="E15" s="311">
        <f t="shared" si="16"/>
        <v>1.5690484389304219E-3</v>
      </c>
      <c r="F15" s="311">
        <f t="shared" si="16"/>
        <v>6.0321715817692979E-3</v>
      </c>
      <c r="G15" s="311">
        <f t="shared" si="16"/>
        <v>9.2069437668204617E-3</v>
      </c>
      <c r="H15" s="311">
        <f t="shared" si="16"/>
        <v>9.5489951018742584E-3</v>
      </c>
      <c r="I15" s="311">
        <f t="shared" si="16"/>
        <v>1.1623350534128564E-2</v>
      </c>
      <c r="J15" s="311">
        <f t="shared" si="16"/>
        <v>1.600608812349219E-2</v>
      </c>
      <c r="K15" s="311">
        <f t="shared" si="16"/>
        <v>2.0839943648386289E-2</v>
      </c>
      <c r="L15" s="311">
        <f t="shared" si="16"/>
        <v>2.5303478010026321E-2</v>
      </c>
      <c r="M15" s="311">
        <f t="shared" si="16"/>
        <v>2.676394192185971E-2</v>
      </c>
      <c r="N15" s="311">
        <f t="shared" si="16"/>
        <v>2.7726620679682196E-2</v>
      </c>
      <c r="O15" s="79"/>
      <c r="P15" s="354">
        <v>0</v>
      </c>
      <c r="Q15" s="354">
        <v>0</v>
      </c>
      <c r="R15" s="354">
        <v>1.5565912445514058E-3</v>
      </c>
      <c r="S15" s="354">
        <v>1.5006266971392478E-2</v>
      </c>
      <c r="T15" s="354">
        <v>2.461682370761124E-2</v>
      </c>
      <c r="U15" s="354">
        <v>3.141227554540716E-2</v>
      </c>
      <c r="V15" s="354">
        <v>3.858536653205042E-2</v>
      </c>
      <c r="W15" s="354">
        <v>4.5752887345871393E-2</v>
      </c>
      <c r="X15" s="354">
        <v>5.344854803160571E-2</v>
      </c>
      <c r="Y15" s="354">
        <v>6.1213312122053387E-2</v>
      </c>
      <c r="Z15" s="354">
        <v>6.5762957789287077E-2</v>
      </c>
      <c r="AA15" s="354">
        <v>7.0224681529612934E-2</v>
      </c>
      <c r="AE15" s="361"/>
      <c r="AF15" s="361"/>
      <c r="AG15" s="361"/>
      <c r="AH15" s="361"/>
      <c r="AI15" s="361"/>
      <c r="AJ15" s="361"/>
      <c r="AK15" s="361"/>
      <c r="AL15" s="361"/>
      <c r="AM15" s="361"/>
      <c r="AN15" s="361"/>
    </row>
    <row r="16" spans="2:40" hidden="1" outlineLevel="1" x14ac:dyDescent="0.6">
      <c r="B16" s="79" t="s">
        <v>353</v>
      </c>
      <c r="C16" s="309">
        <f t="shared" si="16"/>
        <v>1</v>
      </c>
      <c r="D16" s="309">
        <f t="shared" si="16"/>
        <v>1</v>
      </c>
      <c r="E16" s="309">
        <f t="shared" si="16"/>
        <v>1</v>
      </c>
      <c r="F16" s="309">
        <f t="shared" si="16"/>
        <v>1</v>
      </c>
      <c r="G16" s="309">
        <f t="shared" si="16"/>
        <v>1</v>
      </c>
      <c r="H16" s="309">
        <f t="shared" si="16"/>
        <v>1</v>
      </c>
      <c r="I16" s="309">
        <f t="shared" si="16"/>
        <v>1</v>
      </c>
      <c r="J16" s="309">
        <f t="shared" si="16"/>
        <v>1</v>
      </c>
      <c r="K16" s="309">
        <f t="shared" si="16"/>
        <v>1</v>
      </c>
      <c r="L16" s="309">
        <f t="shared" si="16"/>
        <v>1</v>
      </c>
      <c r="M16" s="309">
        <f t="shared" si="16"/>
        <v>1</v>
      </c>
      <c r="N16" s="309">
        <f t="shared" si="16"/>
        <v>1</v>
      </c>
      <c r="O16" s="79"/>
      <c r="P16" s="352">
        <v>1</v>
      </c>
      <c r="Q16" s="352">
        <v>1</v>
      </c>
      <c r="R16" s="352">
        <v>1</v>
      </c>
      <c r="S16" s="352">
        <v>1</v>
      </c>
      <c r="T16" s="352">
        <v>1</v>
      </c>
      <c r="U16" s="352">
        <v>1</v>
      </c>
      <c r="V16" s="352">
        <v>1</v>
      </c>
      <c r="W16" s="352">
        <v>1</v>
      </c>
      <c r="X16" s="352">
        <v>1</v>
      </c>
      <c r="Y16" s="352">
        <v>1</v>
      </c>
      <c r="Z16" s="352">
        <v>1</v>
      </c>
      <c r="AA16" s="352">
        <v>1</v>
      </c>
      <c r="AE16" s="361"/>
      <c r="AF16" s="361"/>
      <c r="AG16" s="361"/>
      <c r="AH16" s="361"/>
      <c r="AI16" s="361"/>
      <c r="AJ16" s="361"/>
      <c r="AK16" s="361"/>
      <c r="AL16" s="361"/>
      <c r="AM16" s="361"/>
      <c r="AN16" s="361"/>
    </row>
    <row r="17" spans="2:40" hidden="1" outlineLevel="1" x14ac:dyDescent="0.6">
      <c r="B17" s="79"/>
      <c r="C17" s="79"/>
      <c r="D17" s="79"/>
      <c r="E17" s="79"/>
      <c r="F17" s="79"/>
      <c r="G17" s="79"/>
      <c r="H17" s="79"/>
      <c r="I17" s="79"/>
      <c r="J17" s="79"/>
      <c r="K17" s="79"/>
      <c r="L17" s="79"/>
      <c r="M17" s="79"/>
      <c r="N17" s="79"/>
      <c r="O17" s="79"/>
      <c r="P17" s="353"/>
      <c r="Q17" s="353"/>
      <c r="R17" s="353"/>
      <c r="S17" s="353"/>
      <c r="T17" s="353"/>
      <c r="U17" s="353"/>
      <c r="V17" s="353"/>
      <c r="W17" s="353"/>
      <c r="X17" s="353"/>
      <c r="Y17" s="353"/>
      <c r="Z17" s="353"/>
      <c r="AA17" s="353"/>
      <c r="AE17" s="361"/>
      <c r="AF17" s="361"/>
      <c r="AG17" s="361"/>
      <c r="AH17" s="361"/>
      <c r="AI17" s="361"/>
      <c r="AJ17" s="361"/>
      <c r="AK17" s="361"/>
      <c r="AL17" s="361"/>
      <c r="AM17" s="361"/>
      <c r="AN17" s="361"/>
    </row>
    <row r="18" spans="2:40" collapsed="1" x14ac:dyDescent="0.6">
      <c r="B18" s="378" t="s">
        <v>228</v>
      </c>
      <c r="C18" s="378">
        <f t="shared" ref="C18:N18" si="17">C2</f>
        <v>2019</v>
      </c>
      <c r="D18" s="378">
        <f t="shared" si="17"/>
        <v>2020</v>
      </c>
      <c r="E18" s="378">
        <f t="shared" si="17"/>
        <v>2021</v>
      </c>
      <c r="F18" s="378">
        <f t="shared" si="17"/>
        <v>2022</v>
      </c>
      <c r="G18" s="378">
        <f t="shared" si="17"/>
        <v>2023</v>
      </c>
      <c r="H18" s="378">
        <f t="shared" si="17"/>
        <v>2024</v>
      </c>
      <c r="I18" s="378">
        <f t="shared" si="17"/>
        <v>2025</v>
      </c>
      <c r="J18" s="378">
        <f t="shared" si="17"/>
        <v>2026</v>
      </c>
      <c r="K18" s="378">
        <f t="shared" si="17"/>
        <v>2027</v>
      </c>
      <c r="L18" s="378">
        <f t="shared" si="17"/>
        <v>2028</v>
      </c>
      <c r="M18" s="378">
        <f t="shared" si="17"/>
        <v>2029</v>
      </c>
      <c r="N18" s="378">
        <f t="shared" si="17"/>
        <v>2030</v>
      </c>
      <c r="O18" s="79"/>
      <c r="P18" s="349">
        <v>2019</v>
      </c>
      <c r="Q18" s="349">
        <v>2020</v>
      </c>
      <c r="R18" s="349">
        <v>2021</v>
      </c>
      <c r="S18" s="349">
        <v>2022</v>
      </c>
      <c r="T18" s="349">
        <v>2023</v>
      </c>
      <c r="U18" s="349">
        <v>2024</v>
      </c>
      <c r="V18" s="349">
        <v>2025</v>
      </c>
      <c r="W18" s="349">
        <v>2026</v>
      </c>
      <c r="X18" s="349">
        <v>2027</v>
      </c>
      <c r="Y18" s="349">
        <v>2028</v>
      </c>
      <c r="Z18" s="349">
        <v>2029</v>
      </c>
      <c r="AA18" s="349">
        <v>2030</v>
      </c>
      <c r="AE18" s="361"/>
      <c r="AF18" s="361"/>
      <c r="AG18" s="361"/>
      <c r="AH18" s="361"/>
      <c r="AI18" s="361"/>
      <c r="AJ18" s="361"/>
      <c r="AK18" s="361"/>
      <c r="AL18" s="361"/>
      <c r="AM18" s="361"/>
      <c r="AN18" s="361"/>
    </row>
    <row r="19" spans="2:40" x14ac:dyDescent="0.6">
      <c r="B19" s="79" t="s">
        <v>368</v>
      </c>
      <c r="C19" s="143">
        <f>Drivers!D78</f>
        <v>119.449</v>
      </c>
      <c r="D19" s="143">
        <f>Drivers!E78</f>
        <v>133.75700000000001</v>
      </c>
      <c r="E19" s="143">
        <f>Drivers!F78</f>
        <v>143.44877027453666</v>
      </c>
      <c r="F19" s="143">
        <f>Drivers!G78</f>
        <v>157.99345855483438</v>
      </c>
      <c r="G19" s="143">
        <f>Drivers!H78</f>
        <v>173.20919177704263</v>
      </c>
      <c r="H19" s="143">
        <f>Drivers!I78</f>
        <v>183.69314630589881</v>
      </c>
      <c r="I19" s="143">
        <f>Drivers!J78</f>
        <v>194.22753082896244</v>
      </c>
      <c r="J19" s="143">
        <f>Drivers!K78</f>
        <v>204.80338395405073</v>
      </c>
      <c r="K19" s="143">
        <f>Drivers!L78</f>
        <v>215.4106570142755</v>
      </c>
      <c r="L19" s="143">
        <f>Drivers!M78</f>
        <v>226.042539768621</v>
      </c>
      <c r="M19" s="143">
        <f>Drivers!N78</f>
        <v>236.69319059074971</v>
      </c>
      <c r="N19" s="143">
        <f>Drivers!O78</f>
        <v>247.35658817999999</v>
      </c>
      <c r="O19" s="79"/>
      <c r="P19" s="355">
        <v>119.449</v>
      </c>
      <c r="Q19" s="355">
        <v>133.75700000000001</v>
      </c>
      <c r="R19" s="355">
        <v>143.44877027453666</v>
      </c>
      <c r="S19" s="355">
        <v>153.20577799256668</v>
      </c>
      <c r="T19" s="355">
        <v>163.02041579015778</v>
      </c>
      <c r="U19" s="355">
        <v>172.88766711143418</v>
      </c>
      <c r="V19" s="355">
        <v>182.80238195667056</v>
      </c>
      <c r="W19" s="355">
        <v>192.7561260744007</v>
      </c>
      <c r="X19" s="355">
        <v>202.73944189578873</v>
      </c>
      <c r="Y19" s="355">
        <v>212.74591978223154</v>
      </c>
      <c r="Z19" s="355">
        <v>222.77006173247034</v>
      </c>
      <c r="AA19" s="355">
        <v>232.80620064000001</v>
      </c>
      <c r="AE19" s="361"/>
      <c r="AF19" s="361">
        <f t="shared" si="2"/>
        <v>3.125E-2</v>
      </c>
      <c r="AG19" s="361">
        <f t="shared" si="3"/>
        <v>6.25E-2</v>
      </c>
      <c r="AH19" s="361">
        <f t="shared" si="4"/>
        <v>6.25E-2</v>
      </c>
      <c r="AI19" s="361">
        <f t="shared" si="5"/>
        <v>6.2499999999999778E-2</v>
      </c>
      <c r="AJ19" s="361">
        <f t="shared" si="6"/>
        <v>6.25E-2</v>
      </c>
      <c r="AK19" s="361">
        <f t="shared" si="7"/>
        <v>6.2499999999999778E-2</v>
      </c>
      <c r="AL19" s="361">
        <f t="shared" si="8"/>
        <v>6.25E-2</v>
      </c>
      <c r="AM19" s="361">
        <f t="shared" si="9"/>
        <v>6.2499999999999778E-2</v>
      </c>
      <c r="AN19" s="361">
        <f t="shared" si="10"/>
        <v>6.2499999999999778E-2</v>
      </c>
    </row>
    <row r="20" spans="2:40" x14ac:dyDescent="0.6">
      <c r="B20" s="77" t="s">
        <v>348</v>
      </c>
      <c r="C20" s="430">
        <f>Drivers!D81</f>
        <v>1.55</v>
      </c>
      <c r="D20" s="430">
        <f>Drivers!E81</f>
        <v>1.6</v>
      </c>
      <c r="E20" s="430">
        <f>Drivers!F81</f>
        <v>1.6</v>
      </c>
      <c r="F20" s="430">
        <f>Drivers!G81</f>
        <v>1.65</v>
      </c>
      <c r="G20" s="430">
        <f>Drivers!H81</f>
        <v>1.7</v>
      </c>
      <c r="H20" s="430">
        <f>Drivers!I81</f>
        <v>1.7</v>
      </c>
      <c r="I20" s="430">
        <f>Drivers!J81</f>
        <v>1.7</v>
      </c>
      <c r="J20" s="430">
        <f>Drivers!K81</f>
        <v>1.7</v>
      </c>
      <c r="K20" s="430">
        <f>Drivers!L81</f>
        <v>1.7</v>
      </c>
      <c r="L20" s="430">
        <f>Drivers!M81</f>
        <v>1.7</v>
      </c>
      <c r="M20" s="430">
        <f>Drivers!N81</f>
        <v>1.7</v>
      </c>
      <c r="N20" s="430">
        <f>Drivers!O81</f>
        <v>1.7</v>
      </c>
      <c r="O20" s="79"/>
      <c r="P20" s="356">
        <v>1.55</v>
      </c>
      <c r="Q20" s="356">
        <v>1.6</v>
      </c>
      <c r="R20" s="356">
        <v>1.6</v>
      </c>
      <c r="S20" s="356">
        <v>1.6</v>
      </c>
      <c r="T20" s="356">
        <v>1.6</v>
      </c>
      <c r="U20" s="356">
        <v>1.6</v>
      </c>
      <c r="V20" s="356">
        <v>1.6</v>
      </c>
      <c r="W20" s="356">
        <v>1.6</v>
      </c>
      <c r="X20" s="356">
        <v>1.6</v>
      </c>
      <c r="Y20" s="356">
        <v>1.6</v>
      </c>
      <c r="Z20" s="356">
        <v>1.6</v>
      </c>
      <c r="AA20" s="356">
        <v>1.6</v>
      </c>
      <c r="AE20" s="361"/>
      <c r="AF20" s="361">
        <f t="shared" si="2"/>
        <v>3.1249999999999778E-2</v>
      </c>
      <c r="AG20" s="361">
        <f t="shared" si="3"/>
        <v>6.25E-2</v>
      </c>
      <c r="AH20" s="361">
        <f t="shared" si="4"/>
        <v>6.25E-2</v>
      </c>
      <c r="AI20" s="361">
        <f t="shared" si="5"/>
        <v>6.25E-2</v>
      </c>
      <c r="AJ20" s="361">
        <f t="shared" si="6"/>
        <v>6.25E-2</v>
      </c>
      <c r="AK20" s="361">
        <f t="shared" si="7"/>
        <v>6.25E-2</v>
      </c>
      <c r="AL20" s="361">
        <f t="shared" si="8"/>
        <v>6.25E-2</v>
      </c>
      <c r="AM20" s="361">
        <f t="shared" si="9"/>
        <v>6.25E-2</v>
      </c>
      <c r="AN20" s="361">
        <f t="shared" si="10"/>
        <v>6.25E-2</v>
      </c>
    </row>
    <row r="21" spans="2:40" x14ac:dyDescent="0.6">
      <c r="B21" s="79" t="s">
        <v>349</v>
      </c>
      <c r="C21" s="143">
        <f>Drivers!D80</f>
        <v>77.063870967741934</v>
      </c>
      <c r="D21" s="143">
        <f>Drivers!E80</f>
        <v>83.598124999999996</v>
      </c>
      <c r="E21" s="143">
        <f>Drivers!F80</f>
        <v>89.655481421585407</v>
      </c>
      <c r="F21" s="143">
        <f>Drivers!G80</f>
        <v>95.753611245354165</v>
      </c>
      <c r="G21" s="143">
        <f>Drivers!H80</f>
        <v>101.8877598688486</v>
      </c>
      <c r="H21" s="143">
        <f>Drivers!I80</f>
        <v>108.05479194464635</v>
      </c>
      <c r="I21" s="143">
        <f>Drivers!J80</f>
        <v>114.25148872291909</v>
      </c>
      <c r="J21" s="143">
        <f>Drivers!K80</f>
        <v>120.47257879650043</v>
      </c>
      <c r="K21" s="143">
        <f>Drivers!L80</f>
        <v>126.71215118486795</v>
      </c>
      <c r="L21" s="143">
        <f>Drivers!M80</f>
        <v>132.9661998638947</v>
      </c>
      <c r="M21" s="143">
        <f>Drivers!N80</f>
        <v>139.23128858279395</v>
      </c>
      <c r="N21" s="143">
        <f>Drivers!O80</f>
        <v>145.5038754</v>
      </c>
      <c r="O21" s="79"/>
      <c r="P21" s="355">
        <v>77.063870967741934</v>
      </c>
      <c r="Q21" s="355">
        <v>83.598124999999996</v>
      </c>
      <c r="R21" s="355">
        <v>89.655481421585407</v>
      </c>
      <c r="S21" s="355">
        <v>95.753611245354165</v>
      </c>
      <c r="T21" s="355">
        <v>101.8877598688486</v>
      </c>
      <c r="U21" s="355">
        <v>108.05479194464635</v>
      </c>
      <c r="V21" s="355">
        <v>114.25148872291909</v>
      </c>
      <c r="W21" s="355">
        <v>120.47257879650043</v>
      </c>
      <c r="X21" s="355">
        <v>126.71215118486795</v>
      </c>
      <c r="Y21" s="355">
        <v>132.9661998638947</v>
      </c>
      <c r="Z21" s="355">
        <v>139.23128858279395</v>
      </c>
      <c r="AA21" s="355">
        <v>145.5038754</v>
      </c>
      <c r="AE21" s="361"/>
      <c r="AF21" s="361">
        <f t="shared" si="2"/>
        <v>0</v>
      </c>
      <c r="AG21" s="361">
        <f t="shared" si="3"/>
        <v>0</v>
      </c>
      <c r="AH21" s="361">
        <f t="shared" si="4"/>
        <v>0</v>
      </c>
      <c r="AI21" s="361">
        <f t="shared" si="5"/>
        <v>0</v>
      </c>
      <c r="AJ21" s="361">
        <f t="shared" si="6"/>
        <v>0</v>
      </c>
      <c r="AK21" s="361">
        <f t="shared" si="7"/>
        <v>0</v>
      </c>
      <c r="AL21" s="361">
        <f t="shared" si="8"/>
        <v>0</v>
      </c>
      <c r="AM21" s="361">
        <f t="shared" si="9"/>
        <v>0</v>
      </c>
      <c r="AN21" s="361">
        <f t="shared" si="10"/>
        <v>0</v>
      </c>
    </row>
    <row r="22" spans="2:40" x14ac:dyDescent="0.6">
      <c r="B22" s="77" t="s">
        <v>350</v>
      </c>
      <c r="C22" s="373">
        <f>Drivers!D79</f>
        <v>0.36514592088571374</v>
      </c>
      <c r="D22" s="373">
        <f>Drivers!E79</f>
        <v>0.39329298756189141</v>
      </c>
      <c r="E22" s="373">
        <f>Drivers!F79</f>
        <v>0.41896368880570228</v>
      </c>
      <c r="F22" s="373">
        <f>Drivers!G79</f>
        <v>0.44463439004951316</v>
      </c>
      <c r="G22" s="373">
        <f>Drivers!H79</f>
        <v>0.47030509129332404</v>
      </c>
      <c r="H22" s="373">
        <f>Drivers!I79</f>
        <v>0.49597579253713492</v>
      </c>
      <c r="I22" s="373">
        <f>Drivers!J79</f>
        <v>0.52164649378094574</v>
      </c>
      <c r="J22" s="373">
        <f>Drivers!K79</f>
        <v>0.54731719502475662</v>
      </c>
      <c r="K22" s="373">
        <f>Drivers!L79</f>
        <v>0.5729878962685675</v>
      </c>
      <c r="L22" s="373">
        <f>Drivers!M79</f>
        <v>0.59865859751237838</v>
      </c>
      <c r="M22" s="373">
        <f>Drivers!N79</f>
        <v>0.62432929875618925</v>
      </c>
      <c r="N22" s="373">
        <f>Drivers!O79</f>
        <v>0.65</v>
      </c>
      <c r="O22" s="79"/>
      <c r="P22" s="352">
        <v>0.36514592088571374</v>
      </c>
      <c r="Q22" s="352">
        <v>0.39329298756189141</v>
      </c>
      <c r="R22" s="352">
        <v>0.41896368880570228</v>
      </c>
      <c r="S22" s="352">
        <v>0.44463439004951316</v>
      </c>
      <c r="T22" s="352">
        <v>0.47030509129332404</v>
      </c>
      <c r="U22" s="352">
        <v>0.49597579253713492</v>
      </c>
      <c r="V22" s="352">
        <v>0.52164649378094574</v>
      </c>
      <c r="W22" s="352">
        <v>0.54731719502475662</v>
      </c>
      <c r="X22" s="352">
        <v>0.5729878962685675</v>
      </c>
      <c r="Y22" s="352">
        <v>0.59865859751237838</v>
      </c>
      <c r="Z22" s="352">
        <v>0.62432929875618925</v>
      </c>
      <c r="AA22" s="352">
        <v>0.65</v>
      </c>
      <c r="AE22" s="361"/>
      <c r="AF22" s="361">
        <f t="shared" si="2"/>
        <v>0</v>
      </c>
      <c r="AG22" s="361">
        <f t="shared" si="3"/>
        <v>0</v>
      </c>
      <c r="AH22" s="361">
        <f t="shared" si="4"/>
        <v>0</v>
      </c>
      <c r="AI22" s="361">
        <f t="shared" si="5"/>
        <v>0</v>
      </c>
      <c r="AJ22" s="361">
        <f t="shared" si="6"/>
        <v>0</v>
      </c>
      <c r="AK22" s="361">
        <f t="shared" si="7"/>
        <v>0</v>
      </c>
      <c r="AL22" s="361">
        <f t="shared" si="8"/>
        <v>0</v>
      </c>
      <c r="AM22" s="361">
        <f t="shared" si="9"/>
        <v>0</v>
      </c>
      <c r="AN22" s="361">
        <f t="shared" si="10"/>
        <v>0</v>
      </c>
    </row>
    <row r="23" spans="2:40" x14ac:dyDescent="0.6">
      <c r="B23" s="79" t="s">
        <v>351</v>
      </c>
      <c r="C23" s="155">
        <f>Drivers!D87</f>
        <v>8.7724999999999991</v>
      </c>
      <c r="D23" s="155">
        <f>Drivers!E87</f>
        <v>14.2</v>
      </c>
      <c r="E23" s="155">
        <f>Drivers!F87</f>
        <v>23.3</v>
      </c>
      <c r="F23" s="155">
        <f>Drivers!G87</f>
        <v>30.4</v>
      </c>
      <c r="G23" s="155">
        <f>Drivers!H87</f>
        <v>37.5</v>
      </c>
      <c r="H23" s="155">
        <f>Drivers!I87</f>
        <v>44.484440894568692</v>
      </c>
      <c r="I23" s="155">
        <f>Drivers!J87</f>
        <v>48.563769968051119</v>
      </c>
      <c r="J23" s="155">
        <f>Drivers!K87</f>
        <v>52.602428115015975</v>
      </c>
      <c r="K23" s="155">
        <f>Drivers!L87</f>
        <v>56.221086261980822</v>
      </c>
      <c r="L23" s="155">
        <f>Drivers!M87</f>
        <v>59.35974440894568</v>
      </c>
      <c r="M23" s="155">
        <f>Drivers!N87</f>
        <v>62.578402555910543</v>
      </c>
      <c r="N23" s="155">
        <f>Drivers!O87</f>
        <v>65.877060702875397</v>
      </c>
      <c r="O23" s="79"/>
      <c r="P23" s="350">
        <v>8.7724999999999991</v>
      </c>
      <c r="Q23" s="350">
        <v>15.805</v>
      </c>
      <c r="R23" s="350">
        <v>28.689754054907329</v>
      </c>
      <c r="S23" s="350">
        <v>33.513763935873953</v>
      </c>
      <c r="T23" s="350">
        <v>36.170154753441253</v>
      </c>
      <c r="U23" s="350">
        <v>38.899725100072686</v>
      </c>
      <c r="V23" s="350">
        <v>41.130535940250873</v>
      </c>
      <c r="W23" s="350">
        <v>43.370128366740154</v>
      </c>
      <c r="X23" s="350">
        <v>45.616374426552461</v>
      </c>
      <c r="Y23" s="350">
        <v>47.867831951002088</v>
      </c>
      <c r="Z23" s="350">
        <v>50.12326388980582</v>
      </c>
      <c r="AA23" s="350">
        <v>52.381395143999995</v>
      </c>
      <c r="AE23" s="361"/>
      <c r="AF23" s="361">
        <f t="shared" si="2"/>
        <v>-9.2910003836987887E-2</v>
      </c>
      <c r="AG23" s="361">
        <f t="shared" si="3"/>
        <v>3.6766368726476761E-2</v>
      </c>
      <c r="AH23" s="361">
        <f t="shared" si="4"/>
        <v>0.14356697329168444</v>
      </c>
      <c r="AI23" s="361">
        <f t="shared" si="5"/>
        <v>0.18072300440233224</v>
      </c>
      <c r="AJ23" s="361">
        <f t="shared" si="6"/>
        <v>0.2128723177899543</v>
      </c>
      <c r="AK23" s="361">
        <f t="shared" si="7"/>
        <v>0.23247599066653457</v>
      </c>
      <c r="AL23" s="361">
        <f t="shared" si="8"/>
        <v>0.24007589208775548</v>
      </c>
      <c r="AM23" s="361">
        <f t="shared" si="9"/>
        <v>0.24849017600862733</v>
      </c>
      <c r="AN23" s="361">
        <f t="shared" si="10"/>
        <v>0.25764234651969287</v>
      </c>
    </row>
    <row r="24" spans="2:40" x14ac:dyDescent="0.6">
      <c r="B24" s="77" t="s">
        <v>347</v>
      </c>
      <c r="C24" s="373">
        <f>C23/C21</f>
        <v>0.11383414679068053</v>
      </c>
      <c r="D24" s="373">
        <f t="shared" ref="D24:N24" si="18">D23/D21</f>
        <v>0.16986026899526754</v>
      </c>
      <c r="E24" s="373">
        <f t="shared" si="18"/>
        <v>0.2598837196627925</v>
      </c>
      <c r="F24" s="373">
        <f t="shared" si="18"/>
        <v>0.31748149865705422</v>
      </c>
      <c r="G24" s="373">
        <f t="shared" si="18"/>
        <v>0.36805206089789921</v>
      </c>
      <c r="H24" s="373">
        <f t="shared" si="18"/>
        <v>0.41168411038500641</v>
      </c>
      <c r="I24" s="373">
        <f t="shared" si="18"/>
        <v>0.42506028158483961</v>
      </c>
      <c r="J24" s="373">
        <f t="shared" si="18"/>
        <v>0.43663403440438353</v>
      </c>
      <c r="K24" s="373">
        <f t="shared" si="18"/>
        <v>0.44369135663995246</v>
      </c>
      <c r="L24" s="373">
        <f t="shared" si="18"/>
        <v>0.44642732115159195</v>
      </c>
      <c r="M24" s="373">
        <f t="shared" si="18"/>
        <v>0.4494564633631058</v>
      </c>
      <c r="N24" s="373">
        <f t="shared" si="18"/>
        <v>0.45275124474708939</v>
      </c>
      <c r="O24" s="79"/>
      <c r="P24" s="352">
        <v>0.11383414679068053</v>
      </c>
      <c r="Q24" s="352">
        <v>0.1890592641880425</v>
      </c>
      <c r="R24" s="352">
        <v>0.32</v>
      </c>
      <c r="S24" s="352">
        <v>0.35</v>
      </c>
      <c r="T24" s="352">
        <v>0.35499999999999998</v>
      </c>
      <c r="U24" s="352">
        <v>0.36</v>
      </c>
      <c r="V24" s="352">
        <v>0.36</v>
      </c>
      <c r="W24" s="352">
        <v>0.36</v>
      </c>
      <c r="X24" s="352">
        <v>0.36</v>
      </c>
      <c r="Y24" s="352">
        <v>0.36</v>
      </c>
      <c r="Z24" s="352">
        <v>0.36</v>
      </c>
      <c r="AA24" s="352">
        <v>0.36</v>
      </c>
      <c r="AE24" s="361"/>
      <c r="AF24" s="361">
        <f t="shared" si="2"/>
        <v>-9.2910003836987887E-2</v>
      </c>
      <c r="AG24" s="361">
        <f t="shared" si="3"/>
        <v>3.6766368726476761E-2</v>
      </c>
      <c r="AH24" s="361">
        <f t="shared" si="4"/>
        <v>0.14356697329168444</v>
      </c>
      <c r="AI24" s="361">
        <f t="shared" si="5"/>
        <v>0.18072300440233224</v>
      </c>
      <c r="AJ24" s="361">
        <f t="shared" si="6"/>
        <v>0.2128723177899543</v>
      </c>
      <c r="AK24" s="361">
        <f t="shared" si="7"/>
        <v>0.23247599066653457</v>
      </c>
      <c r="AL24" s="361">
        <f t="shared" si="8"/>
        <v>0.24007589208775548</v>
      </c>
      <c r="AM24" s="361">
        <f t="shared" si="9"/>
        <v>0.24849017600862733</v>
      </c>
      <c r="AN24" s="361">
        <f t="shared" si="10"/>
        <v>0.25764234651969287</v>
      </c>
    </row>
    <row r="25" spans="2:40" x14ac:dyDescent="0.6">
      <c r="B25" s="79"/>
      <c r="C25" s="79"/>
      <c r="D25" s="79"/>
      <c r="E25" s="79"/>
      <c r="F25" s="79"/>
      <c r="G25" s="79"/>
      <c r="H25" s="79"/>
      <c r="I25" s="79"/>
      <c r="J25" s="79"/>
      <c r="K25" s="79"/>
      <c r="L25" s="79"/>
      <c r="M25" s="79"/>
      <c r="N25" s="79"/>
      <c r="O25" s="79"/>
      <c r="P25" s="353"/>
      <c r="Q25" s="353"/>
      <c r="R25" s="353"/>
      <c r="S25" s="353"/>
      <c r="T25" s="353"/>
      <c r="U25" s="353"/>
      <c r="V25" s="353"/>
      <c r="W25" s="353"/>
      <c r="X25" s="353"/>
      <c r="Y25" s="353"/>
      <c r="Z25" s="353"/>
      <c r="AA25" s="353"/>
      <c r="AE25" s="361"/>
      <c r="AF25" s="361"/>
      <c r="AG25" s="361"/>
      <c r="AH25" s="361"/>
      <c r="AI25" s="361"/>
      <c r="AJ25" s="361"/>
      <c r="AK25" s="361"/>
      <c r="AL25" s="361"/>
      <c r="AM25" s="361"/>
      <c r="AN25" s="361"/>
    </row>
    <row r="26" spans="2:40" x14ac:dyDescent="0.6">
      <c r="B26" s="378" t="s">
        <v>229</v>
      </c>
      <c r="C26" s="378">
        <f>C18</f>
        <v>2019</v>
      </c>
      <c r="D26" s="378">
        <f t="shared" ref="D26:N26" si="19">D18</f>
        <v>2020</v>
      </c>
      <c r="E26" s="378">
        <f t="shared" si="19"/>
        <v>2021</v>
      </c>
      <c r="F26" s="378">
        <f t="shared" si="19"/>
        <v>2022</v>
      </c>
      <c r="G26" s="378">
        <f t="shared" si="19"/>
        <v>2023</v>
      </c>
      <c r="H26" s="378">
        <f t="shared" si="19"/>
        <v>2024</v>
      </c>
      <c r="I26" s="378">
        <f t="shared" si="19"/>
        <v>2025</v>
      </c>
      <c r="J26" s="378">
        <f t="shared" si="19"/>
        <v>2026</v>
      </c>
      <c r="K26" s="378">
        <f t="shared" si="19"/>
        <v>2027</v>
      </c>
      <c r="L26" s="378">
        <f t="shared" si="19"/>
        <v>2028</v>
      </c>
      <c r="M26" s="378">
        <f t="shared" si="19"/>
        <v>2029</v>
      </c>
      <c r="N26" s="378">
        <f t="shared" si="19"/>
        <v>2030</v>
      </c>
      <c r="O26" s="79"/>
      <c r="P26" s="349">
        <v>2019</v>
      </c>
      <c r="Q26" s="349">
        <v>2020</v>
      </c>
      <c r="R26" s="349">
        <v>2021</v>
      </c>
      <c r="S26" s="349">
        <v>2022</v>
      </c>
      <c r="T26" s="349">
        <v>2023</v>
      </c>
      <c r="U26" s="349">
        <v>2024</v>
      </c>
      <c r="V26" s="349">
        <v>2025</v>
      </c>
      <c r="W26" s="349">
        <v>2026</v>
      </c>
      <c r="X26" s="349">
        <v>2027</v>
      </c>
      <c r="Y26" s="349">
        <v>2028</v>
      </c>
      <c r="Z26" s="349">
        <v>2029</v>
      </c>
      <c r="AA26" s="349">
        <v>2030</v>
      </c>
      <c r="AE26" s="361"/>
      <c r="AF26" s="361">
        <f t="shared" si="2"/>
        <v>0</v>
      </c>
      <c r="AG26" s="361">
        <f t="shared" si="3"/>
        <v>0</v>
      </c>
      <c r="AH26" s="361">
        <f t="shared" si="4"/>
        <v>0</v>
      </c>
      <c r="AI26" s="361">
        <f t="shared" si="5"/>
        <v>0</v>
      </c>
      <c r="AJ26" s="361">
        <f t="shared" si="6"/>
        <v>0</v>
      </c>
      <c r="AK26" s="361">
        <f t="shared" si="7"/>
        <v>0</v>
      </c>
      <c r="AL26" s="361">
        <f t="shared" si="8"/>
        <v>0</v>
      </c>
      <c r="AM26" s="361">
        <f t="shared" si="9"/>
        <v>0</v>
      </c>
      <c r="AN26" s="361">
        <f t="shared" si="10"/>
        <v>0</v>
      </c>
    </row>
    <row r="27" spans="2:40" x14ac:dyDescent="0.6">
      <c r="B27" s="79" t="str">
        <f>B19</f>
        <v>Market cards, millions</v>
      </c>
      <c r="C27" s="143">
        <f>Drivers!D131</f>
        <v>29.2</v>
      </c>
      <c r="D27" s="143">
        <f>Drivers!E131</f>
        <v>31.7690303392</v>
      </c>
      <c r="E27" s="143">
        <f>Drivers!F131</f>
        <v>40.558444819200005</v>
      </c>
      <c r="F27" s="143">
        <f>Drivers!G131</f>
        <v>49.509703488</v>
      </c>
      <c r="G27" s="143">
        <f>Drivers!H131</f>
        <v>58.616885143040015</v>
      </c>
      <c r="H27" s="143">
        <f>Drivers!I131</f>
        <v>67.873813624960007</v>
      </c>
      <c r="I27" s="143">
        <f>Drivers!J131</f>
        <v>77.274257356800007</v>
      </c>
      <c r="J27" s="143">
        <f>Drivers!K131</f>
        <v>86.811714904320013</v>
      </c>
      <c r="K27" s="143">
        <f>Drivers!L131</f>
        <v>96.480123402880025</v>
      </c>
      <c r="L27" s="143">
        <f>Drivers!M131</f>
        <v>106.27449856128004</v>
      </c>
      <c r="M27" s="143">
        <f>Drivers!N131</f>
        <v>116.19077724800005</v>
      </c>
      <c r="N27" s="143">
        <f>Drivers!O131</f>
        <v>126.22468364800002</v>
      </c>
      <c r="O27" s="79"/>
      <c r="P27" s="355">
        <v>29.2</v>
      </c>
      <c r="Q27" s="355">
        <v>31.7690303392</v>
      </c>
      <c r="R27" s="355">
        <v>40.558444819200005</v>
      </c>
      <c r="S27" s="355">
        <v>49.509703488</v>
      </c>
      <c r="T27" s="355">
        <v>58.616885143040015</v>
      </c>
      <c r="U27" s="355">
        <v>67.873813624960007</v>
      </c>
      <c r="V27" s="355">
        <v>77.274257356800007</v>
      </c>
      <c r="W27" s="355">
        <v>86.811714904320013</v>
      </c>
      <c r="X27" s="355">
        <v>96.480123402880025</v>
      </c>
      <c r="Y27" s="355">
        <v>106.27449856128004</v>
      </c>
      <c r="Z27" s="355">
        <v>116.19077724800005</v>
      </c>
      <c r="AA27" s="355">
        <v>126.22468364800002</v>
      </c>
      <c r="AE27" s="361"/>
      <c r="AF27" s="361">
        <f t="shared" si="2"/>
        <v>0</v>
      </c>
      <c r="AG27" s="361">
        <f t="shared" si="3"/>
        <v>0</v>
      </c>
      <c r="AH27" s="361">
        <f t="shared" si="4"/>
        <v>0</v>
      </c>
      <c r="AI27" s="361">
        <f t="shared" si="5"/>
        <v>0</v>
      </c>
      <c r="AJ27" s="361">
        <f t="shared" si="6"/>
        <v>0</v>
      </c>
      <c r="AK27" s="361">
        <f t="shared" si="7"/>
        <v>0</v>
      </c>
      <c r="AL27" s="361">
        <f t="shared" si="8"/>
        <v>0</v>
      </c>
      <c r="AM27" s="361">
        <f t="shared" si="9"/>
        <v>0</v>
      </c>
      <c r="AN27" s="361">
        <f t="shared" si="10"/>
        <v>0</v>
      </c>
    </row>
    <row r="28" spans="2:40" x14ac:dyDescent="0.6">
      <c r="B28" s="77" t="s">
        <v>348</v>
      </c>
      <c r="C28" s="430">
        <f>Drivers!D134</f>
        <v>2.2200000000000002</v>
      </c>
      <c r="D28" s="430">
        <f>Drivers!E134</f>
        <v>2.2400000000000002</v>
      </c>
      <c r="E28" s="430">
        <f>Drivers!F134</f>
        <v>2.2400000000000002</v>
      </c>
      <c r="F28" s="430">
        <f>Drivers!G134</f>
        <v>2.2400000000000002</v>
      </c>
      <c r="G28" s="430">
        <f>Drivers!H134</f>
        <v>2.2400000000000002</v>
      </c>
      <c r="H28" s="430">
        <f>Drivers!I134</f>
        <v>2.2400000000000002</v>
      </c>
      <c r="I28" s="430">
        <f>Drivers!J134</f>
        <v>2.2400000000000002</v>
      </c>
      <c r="J28" s="430">
        <f>Drivers!K134</f>
        <v>2.2400000000000002</v>
      </c>
      <c r="K28" s="430">
        <f>Drivers!L134</f>
        <v>2.2400000000000002</v>
      </c>
      <c r="L28" s="430">
        <f>Drivers!M134</f>
        <v>2.2400000000000002</v>
      </c>
      <c r="M28" s="430">
        <f>Drivers!N134</f>
        <v>2.2400000000000002</v>
      </c>
      <c r="N28" s="430">
        <f>Drivers!O134</f>
        <v>2.2400000000000002</v>
      </c>
      <c r="O28" s="79"/>
      <c r="P28" s="356">
        <v>2.2200000000000002</v>
      </c>
      <c r="Q28" s="356">
        <v>2.2400000000000002</v>
      </c>
      <c r="R28" s="356">
        <v>2.2400000000000002</v>
      </c>
      <c r="S28" s="356">
        <v>2.2400000000000002</v>
      </c>
      <c r="T28" s="356">
        <v>2.2400000000000002</v>
      </c>
      <c r="U28" s="356">
        <v>2.2400000000000002</v>
      </c>
      <c r="V28" s="356">
        <v>2.2400000000000002</v>
      </c>
      <c r="W28" s="356">
        <v>2.2400000000000002</v>
      </c>
      <c r="X28" s="356">
        <v>2.2400000000000002</v>
      </c>
      <c r="Y28" s="356">
        <v>2.2400000000000002</v>
      </c>
      <c r="Z28" s="356">
        <v>2.2400000000000002</v>
      </c>
      <c r="AA28" s="356">
        <v>2.2400000000000002</v>
      </c>
      <c r="AE28" s="361"/>
      <c r="AF28" s="361">
        <f t="shared" si="2"/>
        <v>0</v>
      </c>
      <c r="AG28" s="361">
        <f t="shared" si="3"/>
        <v>0</v>
      </c>
      <c r="AH28" s="361">
        <f t="shared" si="4"/>
        <v>0</v>
      </c>
      <c r="AI28" s="361">
        <f t="shared" si="5"/>
        <v>0</v>
      </c>
      <c r="AJ28" s="361">
        <f t="shared" si="6"/>
        <v>0</v>
      </c>
      <c r="AK28" s="361">
        <f t="shared" si="7"/>
        <v>0</v>
      </c>
      <c r="AL28" s="361">
        <f t="shared" si="8"/>
        <v>0</v>
      </c>
      <c r="AM28" s="361">
        <f t="shared" si="9"/>
        <v>0</v>
      </c>
      <c r="AN28" s="361">
        <f t="shared" si="10"/>
        <v>0</v>
      </c>
    </row>
    <row r="29" spans="2:40" x14ac:dyDescent="0.6">
      <c r="B29" s="79" t="s">
        <v>349</v>
      </c>
      <c r="C29" s="143">
        <f>Drivers!D133</f>
        <v>13.153153153153152</v>
      </c>
      <c r="D29" s="143">
        <f>Drivers!E133</f>
        <v>14.182602829999999</v>
      </c>
      <c r="E29" s="143">
        <f>Drivers!F133</f>
        <v>18.106448580000002</v>
      </c>
      <c r="F29" s="143">
        <f>Drivers!G133</f>
        <v>22.102546199999999</v>
      </c>
      <c r="G29" s="143">
        <f>Drivers!H133</f>
        <v>26.168252296000006</v>
      </c>
      <c r="H29" s="143">
        <f>Drivers!I133</f>
        <v>30.300809653999998</v>
      </c>
      <c r="I29" s="143">
        <f>Drivers!J133</f>
        <v>34.497436319999998</v>
      </c>
      <c r="J29" s="143">
        <f>Drivers!K133</f>
        <v>38.755229868000001</v>
      </c>
      <c r="K29" s="143">
        <f>Drivers!L133</f>
        <v>43.071483662000006</v>
      </c>
      <c r="L29" s="143">
        <f>Drivers!M133</f>
        <v>47.443972572000014</v>
      </c>
      <c r="M29" s="143">
        <f>Drivers!N133</f>
        <v>51.870882700000017</v>
      </c>
      <c r="N29" s="143">
        <f>Drivers!O133</f>
        <v>56.350305200000008</v>
      </c>
      <c r="O29" s="79"/>
      <c r="P29" s="355">
        <v>13.153153153153152</v>
      </c>
      <c r="Q29" s="355">
        <v>14.182602829999999</v>
      </c>
      <c r="R29" s="355">
        <v>18.106448580000002</v>
      </c>
      <c r="S29" s="355">
        <v>22.102546199999999</v>
      </c>
      <c r="T29" s="355">
        <v>26.168252296000006</v>
      </c>
      <c r="U29" s="355">
        <v>30.300809653999998</v>
      </c>
      <c r="V29" s="355">
        <v>34.497436319999998</v>
      </c>
      <c r="W29" s="355">
        <v>38.755229868000001</v>
      </c>
      <c r="X29" s="355">
        <v>43.071483662000006</v>
      </c>
      <c r="Y29" s="355">
        <v>47.443972572000014</v>
      </c>
      <c r="Z29" s="355">
        <v>51.870882700000017</v>
      </c>
      <c r="AA29" s="355">
        <v>56.350305200000008</v>
      </c>
      <c r="AE29" s="361"/>
      <c r="AF29" s="361">
        <f t="shared" si="2"/>
        <v>0</v>
      </c>
      <c r="AG29" s="361">
        <f t="shared" si="3"/>
        <v>0</v>
      </c>
      <c r="AH29" s="361">
        <f t="shared" si="4"/>
        <v>0</v>
      </c>
      <c r="AI29" s="361">
        <f t="shared" si="5"/>
        <v>0</v>
      </c>
      <c r="AJ29" s="361">
        <f t="shared" si="6"/>
        <v>0</v>
      </c>
      <c r="AK29" s="361">
        <f t="shared" si="7"/>
        <v>0</v>
      </c>
      <c r="AL29" s="361">
        <f t="shared" si="8"/>
        <v>0</v>
      </c>
      <c r="AM29" s="361">
        <f t="shared" si="9"/>
        <v>0</v>
      </c>
      <c r="AN29" s="361">
        <f t="shared" si="10"/>
        <v>0</v>
      </c>
    </row>
    <row r="30" spans="2:40" x14ac:dyDescent="0.6">
      <c r="B30" s="77" t="s">
        <v>350</v>
      </c>
      <c r="C30" s="373">
        <f>Drivers!D132</f>
        <v>0.10310091015302122</v>
      </c>
      <c r="D30" s="373">
        <f>Drivers!E132</f>
        <v>0.11</v>
      </c>
      <c r="E30" s="373">
        <f>Drivers!F132</f>
        <v>0.13900000000000001</v>
      </c>
      <c r="F30" s="373">
        <f>Drivers!G132</f>
        <v>0.16800000000000001</v>
      </c>
      <c r="G30" s="373">
        <f>Drivers!H132</f>
        <v>0.19700000000000001</v>
      </c>
      <c r="H30" s="373">
        <f>Drivers!I132</f>
        <v>0.22600000000000001</v>
      </c>
      <c r="I30" s="373">
        <f>Drivers!J132</f>
        <v>0.255</v>
      </c>
      <c r="J30" s="373">
        <f>Drivers!K132</f>
        <v>0.28400000000000003</v>
      </c>
      <c r="K30" s="373">
        <f>Drivers!L132</f>
        <v>0.31300000000000006</v>
      </c>
      <c r="L30" s="373">
        <f>Drivers!M132</f>
        <v>0.34200000000000008</v>
      </c>
      <c r="M30" s="373">
        <f>Drivers!N132</f>
        <v>0.37100000000000011</v>
      </c>
      <c r="N30" s="373">
        <f>Drivers!O132</f>
        <v>0.4</v>
      </c>
      <c r="O30" s="79"/>
      <c r="P30" s="352">
        <v>0.10310091015302122</v>
      </c>
      <c r="Q30" s="352">
        <v>0.11</v>
      </c>
      <c r="R30" s="352">
        <v>0.13900000000000001</v>
      </c>
      <c r="S30" s="352">
        <v>0.16800000000000001</v>
      </c>
      <c r="T30" s="352">
        <v>0.19700000000000001</v>
      </c>
      <c r="U30" s="352">
        <v>0.22600000000000001</v>
      </c>
      <c r="V30" s="352">
        <v>0.255</v>
      </c>
      <c r="W30" s="352">
        <v>0.28400000000000003</v>
      </c>
      <c r="X30" s="352">
        <v>0.31300000000000006</v>
      </c>
      <c r="Y30" s="352">
        <v>0.34200000000000008</v>
      </c>
      <c r="Z30" s="352">
        <v>0.37100000000000011</v>
      </c>
      <c r="AA30" s="352">
        <v>0.4</v>
      </c>
      <c r="AE30" s="361"/>
      <c r="AF30" s="361">
        <f t="shared" si="2"/>
        <v>0</v>
      </c>
      <c r="AG30" s="361">
        <f t="shared" si="3"/>
        <v>0</v>
      </c>
      <c r="AH30" s="361">
        <f t="shared" si="4"/>
        <v>0</v>
      </c>
      <c r="AI30" s="361">
        <f t="shared" si="5"/>
        <v>0</v>
      </c>
      <c r="AJ30" s="361">
        <f t="shared" si="6"/>
        <v>0</v>
      </c>
      <c r="AK30" s="361">
        <f t="shared" si="7"/>
        <v>0</v>
      </c>
      <c r="AL30" s="361">
        <f t="shared" si="8"/>
        <v>0</v>
      </c>
      <c r="AM30" s="361">
        <f t="shared" si="9"/>
        <v>0</v>
      </c>
      <c r="AN30" s="361">
        <f t="shared" si="10"/>
        <v>0</v>
      </c>
    </row>
    <row r="31" spans="2:40" x14ac:dyDescent="0.6">
      <c r="B31" s="79" t="s">
        <v>351</v>
      </c>
      <c r="C31" s="155">
        <f>Drivers!D140</f>
        <v>0</v>
      </c>
      <c r="D31" s="155">
        <f>Drivers!E140</f>
        <v>0</v>
      </c>
      <c r="E31" s="155">
        <f>Drivers!F140</f>
        <v>0.96077922077922084</v>
      </c>
      <c r="F31" s="155">
        <f>Drivers!G140</f>
        <v>2.3626809651474536</v>
      </c>
      <c r="G31" s="155">
        <f>Drivers!H140</f>
        <v>3.887539936102236</v>
      </c>
      <c r="H31" s="155">
        <f>Drivers!I140</f>
        <v>4.6597444089456861</v>
      </c>
      <c r="I31" s="155">
        <f>Drivers!J140</f>
        <v>8.732108626198082</v>
      </c>
      <c r="J31" s="155">
        <f>Drivers!K140</f>
        <v>13.410862619808306</v>
      </c>
      <c r="K31" s="155">
        <f>Drivers!L140</f>
        <v>17.723642172523959</v>
      </c>
      <c r="L31" s="155">
        <f>Drivers!M140</f>
        <v>20.52364217252396</v>
      </c>
      <c r="M31" s="155">
        <f>Drivers!N140</f>
        <v>21.923642172523959</v>
      </c>
      <c r="N31" s="155">
        <f>Drivers!O140</f>
        <v>22.623642172523958</v>
      </c>
      <c r="O31" s="79"/>
      <c r="P31" s="350">
        <v>0</v>
      </c>
      <c r="Q31" s="350">
        <v>0</v>
      </c>
      <c r="R31" s="350">
        <v>0.90532242900000015</v>
      </c>
      <c r="S31" s="350">
        <v>1.9892291579999999</v>
      </c>
      <c r="T31" s="350">
        <v>3.1401902755200006</v>
      </c>
      <c r="U31" s="350">
        <v>4.2421133515599996</v>
      </c>
      <c r="V31" s="350">
        <v>5.5195898111999986</v>
      </c>
      <c r="W31" s="350">
        <v>6.9759413762399989</v>
      </c>
      <c r="X31" s="350">
        <v>7.9682244774699997</v>
      </c>
      <c r="Y31" s="350">
        <v>9.0143547886800022</v>
      </c>
      <c r="Z31" s="350">
        <v>10.114822126500002</v>
      </c>
      <c r="AA31" s="350">
        <v>11.27006104</v>
      </c>
      <c r="AE31" s="361"/>
      <c r="AF31" s="361">
        <f t="shared" si="2"/>
        <v>0.18773694606554403</v>
      </c>
      <c r="AG31" s="361">
        <f t="shared" si="3"/>
        <v>0.23799502418957008</v>
      </c>
      <c r="AH31" s="361">
        <f t="shared" si="4"/>
        <v>9.8448820852961472E-2</v>
      </c>
      <c r="AI31" s="361">
        <f t="shared" si="5"/>
        <v>0.58202129594475394</v>
      </c>
      <c r="AJ31" s="361">
        <f t="shared" si="6"/>
        <v>0.92244485675949028</v>
      </c>
      <c r="AK31" s="361">
        <f t="shared" si="7"/>
        <v>1.2242900187660646</v>
      </c>
      <c r="AL31" s="361">
        <f t="shared" si="8"/>
        <v>1.2767732859036154</v>
      </c>
      <c r="AM31" s="361">
        <f t="shared" si="9"/>
        <v>1.1674767878602452</v>
      </c>
      <c r="AN31" s="361">
        <f t="shared" si="10"/>
        <v>1.0074107932714407</v>
      </c>
    </row>
    <row r="32" spans="2:40" x14ac:dyDescent="0.6">
      <c r="B32" s="77" t="s">
        <v>347</v>
      </c>
      <c r="C32" s="373">
        <f>C31/C29</f>
        <v>0</v>
      </c>
      <c r="D32" s="373">
        <f t="shared" ref="D32:N32" si="20">D31/D29</f>
        <v>0</v>
      </c>
      <c r="E32" s="373">
        <f t="shared" si="20"/>
        <v>5.3062819941425574E-2</v>
      </c>
      <c r="F32" s="373">
        <f t="shared" si="20"/>
        <v>0.10689632514589897</v>
      </c>
      <c r="G32" s="373">
        <f t="shared" si="20"/>
        <v>0.14855940290274841</v>
      </c>
      <c r="H32" s="373">
        <f t="shared" si="20"/>
        <v>0.15378283491941461</v>
      </c>
      <c r="I32" s="373">
        <f t="shared" si="20"/>
        <v>0.25312340735116057</v>
      </c>
      <c r="J32" s="373">
        <f t="shared" si="20"/>
        <v>0.34604007421670818</v>
      </c>
      <c r="K32" s="373">
        <f t="shared" si="20"/>
        <v>0.41149365347172184</v>
      </c>
      <c r="L32" s="373">
        <f t="shared" si="20"/>
        <v>0.43258692432168694</v>
      </c>
      <c r="M32" s="373">
        <f t="shared" si="20"/>
        <v>0.42265797363274776</v>
      </c>
      <c r="N32" s="373">
        <f t="shared" si="20"/>
        <v>0.4014821586542881</v>
      </c>
      <c r="O32" s="79"/>
      <c r="P32" s="352">
        <v>0</v>
      </c>
      <c r="Q32" s="352">
        <v>0</v>
      </c>
      <c r="R32" s="352">
        <v>0.05</v>
      </c>
      <c r="S32" s="352">
        <v>0.09</v>
      </c>
      <c r="T32" s="352">
        <v>0.12</v>
      </c>
      <c r="U32" s="352">
        <v>0.13999999999999999</v>
      </c>
      <c r="V32" s="352">
        <v>0.15999999999999998</v>
      </c>
      <c r="W32" s="352">
        <v>0.17999999999999997</v>
      </c>
      <c r="X32" s="352">
        <v>0.18499999999999997</v>
      </c>
      <c r="Y32" s="352">
        <v>0.19</v>
      </c>
      <c r="Z32" s="352">
        <v>0.19499999999999998</v>
      </c>
      <c r="AA32" s="352">
        <v>0.19999999999999996</v>
      </c>
      <c r="AE32" s="361"/>
      <c r="AF32" s="361">
        <f t="shared" si="2"/>
        <v>0.18773694606554425</v>
      </c>
      <c r="AG32" s="361">
        <f t="shared" si="3"/>
        <v>0.23799502418957008</v>
      </c>
      <c r="AH32" s="361">
        <f t="shared" si="4"/>
        <v>9.8448820852961694E-2</v>
      </c>
      <c r="AI32" s="361">
        <f t="shared" si="5"/>
        <v>0.58202129594475371</v>
      </c>
      <c r="AJ32" s="361">
        <f t="shared" si="6"/>
        <v>0.92244485675949028</v>
      </c>
      <c r="AK32" s="361">
        <f t="shared" si="7"/>
        <v>1.2242900187660646</v>
      </c>
      <c r="AL32" s="361">
        <f t="shared" si="8"/>
        <v>1.2767732859036154</v>
      </c>
      <c r="AM32" s="361">
        <f t="shared" si="9"/>
        <v>1.1674767878602452</v>
      </c>
      <c r="AN32" s="361">
        <f t="shared" si="10"/>
        <v>1.0074107932714411</v>
      </c>
    </row>
    <row r="33" spans="2:40" x14ac:dyDescent="0.6">
      <c r="B33" s="79"/>
      <c r="C33" s="79"/>
      <c r="D33" s="79"/>
      <c r="E33" s="79"/>
      <c r="F33" s="79"/>
      <c r="G33" s="79"/>
      <c r="H33" s="79"/>
      <c r="I33" s="79"/>
      <c r="J33" s="79"/>
      <c r="K33" s="79"/>
      <c r="L33" s="79"/>
      <c r="M33" s="79"/>
      <c r="N33" s="79"/>
      <c r="O33" s="79"/>
      <c r="P33" s="353"/>
      <c r="Q33" s="353"/>
      <c r="R33" s="353"/>
      <c r="S33" s="353"/>
      <c r="T33" s="353"/>
      <c r="U33" s="353"/>
      <c r="V33" s="353"/>
      <c r="W33" s="353"/>
      <c r="X33" s="353"/>
      <c r="Y33" s="353"/>
      <c r="Z33" s="353"/>
      <c r="AA33" s="353"/>
      <c r="AE33" s="361"/>
      <c r="AF33" s="361"/>
      <c r="AG33" s="361"/>
      <c r="AH33" s="361"/>
      <c r="AI33" s="361"/>
      <c r="AJ33" s="361"/>
      <c r="AK33" s="361"/>
      <c r="AL33" s="361"/>
      <c r="AM33" s="361"/>
      <c r="AN33" s="361"/>
    </row>
    <row r="34" spans="2:40" x14ac:dyDescent="0.6">
      <c r="B34" s="378" t="s">
        <v>230</v>
      </c>
      <c r="C34" s="378">
        <f>C26</f>
        <v>2019</v>
      </c>
      <c r="D34" s="378">
        <f t="shared" ref="D34:N34" si="21">D26</f>
        <v>2020</v>
      </c>
      <c r="E34" s="378">
        <f t="shared" si="21"/>
        <v>2021</v>
      </c>
      <c r="F34" s="378">
        <f t="shared" si="21"/>
        <v>2022</v>
      </c>
      <c r="G34" s="378">
        <f t="shared" si="21"/>
        <v>2023</v>
      </c>
      <c r="H34" s="378">
        <f t="shared" si="21"/>
        <v>2024</v>
      </c>
      <c r="I34" s="378">
        <f t="shared" si="21"/>
        <v>2025</v>
      </c>
      <c r="J34" s="378">
        <f t="shared" si="21"/>
        <v>2026</v>
      </c>
      <c r="K34" s="378">
        <f t="shared" si="21"/>
        <v>2027</v>
      </c>
      <c r="L34" s="378">
        <f t="shared" si="21"/>
        <v>2028</v>
      </c>
      <c r="M34" s="378">
        <f t="shared" si="21"/>
        <v>2029</v>
      </c>
      <c r="N34" s="378">
        <f t="shared" si="21"/>
        <v>2030</v>
      </c>
      <c r="O34" s="79"/>
      <c r="P34" s="349">
        <v>2019</v>
      </c>
      <c r="Q34" s="349">
        <v>2020</v>
      </c>
      <c r="R34" s="349">
        <v>2021</v>
      </c>
      <c r="S34" s="349">
        <v>2022</v>
      </c>
      <c r="T34" s="349">
        <v>2023</v>
      </c>
      <c r="U34" s="349">
        <v>2024</v>
      </c>
      <c r="V34" s="349">
        <v>2025</v>
      </c>
      <c r="W34" s="349">
        <v>2026</v>
      </c>
      <c r="X34" s="349">
        <v>2027</v>
      </c>
      <c r="Y34" s="349">
        <v>2028</v>
      </c>
      <c r="Z34" s="349">
        <v>2029</v>
      </c>
      <c r="AA34" s="349">
        <v>2030</v>
      </c>
      <c r="AE34" s="361"/>
      <c r="AF34" s="361">
        <f t="shared" si="2"/>
        <v>0</v>
      </c>
      <c r="AG34" s="361">
        <f t="shared" si="3"/>
        <v>0</v>
      </c>
      <c r="AH34" s="361">
        <f t="shared" si="4"/>
        <v>0</v>
      </c>
      <c r="AI34" s="361">
        <f t="shared" si="5"/>
        <v>0</v>
      </c>
      <c r="AJ34" s="361">
        <f t="shared" si="6"/>
        <v>0</v>
      </c>
      <c r="AK34" s="361">
        <f t="shared" si="7"/>
        <v>0</v>
      </c>
      <c r="AL34" s="361">
        <f t="shared" si="8"/>
        <v>0</v>
      </c>
      <c r="AM34" s="361">
        <f t="shared" si="9"/>
        <v>0</v>
      </c>
      <c r="AN34" s="361">
        <f t="shared" si="10"/>
        <v>0</v>
      </c>
    </row>
    <row r="35" spans="2:40" x14ac:dyDescent="0.6">
      <c r="B35" s="79" t="str">
        <f>B27</f>
        <v>Market cards, millions</v>
      </c>
      <c r="C35" s="143">
        <f>Drivers!D162</f>
        <v>16.053999999999998</v>
      </c>
      <c r="D35" s="143">
        <f>Drivers!E162</f>
        <v>17.096649024000001</v>
      </c>
      <c r="E35" s="143">
        <f>Drivers!F162</f>
        <v>20.670387091200002</v>
      </c>
      <c r="F35" s="143">
        <f>Drivers!G162</f>
        <v>24.231605126400005</v>
      </c>
      <c r="G35" s="143">
        <f>Drivers!H162</f>
        <v>27.779322009600001</v>
      </c>
      <c r="H35" s="143">
        <f>Drivers!I162</f>
        <v>31.340585404800002</v>
      </c>
      <c r="I35" s="143">
        <f>Drivers!J162</f>
        <v>34.948737600000008</v>
      </c>
      <c r="J35" s="143">
        <f>Drivers!K162</f>
        <v>38.622751305600012</v>
      </c>
      <c r="K35" s="143">
        <f>Drivers!L162</f>
        <v>42.360366182400014</v>
      </c>
      <c r="L35" s="143">
        <f>Drivers!M162</f>
        <v>46.156275110400024</v>
      </c>
      <c r="M35" s="143">
        <f>Drivers!N162</f>
        <v>49.99077121920002</v>
      </c>
      <c r="N35" s="143">
        <f>Drivers!O162</f>
        <v>53.844101136000006</v>
      </c>
      <c r="O35" s="79"/>
      <c r="P35" s="355">
        <v>16.053999999999998</v>
      </c>
      <c r="Q35" s="355">
        <v>17.096649024000001</v>
      </c>
      <c r="R35" s="355">
        <v>20.670387091200002</v>
      </c>
      <c r="S35" s="355">
        <v>24.231605126400005</v>
      </c>
      <c r="T35" s="355">
        <v>27.779322009600001</v>
      </c>
      <c r="U35" s="355">
        <v>31.340585404800002</v>
      </c>
      <c r="V35" s="355">
        <v>34.948737600000008</v>
      </c>
      <c r="W35" s="355">
        <v>38.622751305600012</v>
      </c>
      <c r="X35" s="355">
        <v>42.360366182400014</v>
      </c>
      <c r="Y35" s="355">
        <v>46.156275110400024</v>
      </c>
      <c r="Z35" s="355">
        <v>49.99077121920002</v>
      </c>
      <c r="AA35" s="355">
        <v>53.844101136000006</v>
      </c>
      <c r="AE35" s="361"/>
      <c r="AF35" s="361">
        <f t="shared" si="2"/>
        <v>0</v>
      </c>
      <c r="AG35" s="361">
        <f t="shared" si="3"/>
        <v>0</v>
      </c>
      <c r="AH35" s="361">
        <f t="shared" si="4"/>
        <v>0</v>
      </c>
      <c r="AI35" s="361">
        <f t="shared" si="5"/>
        <v>0</v>
      </c>
      <c r="AJ35" s="361">
        <f t="shared" si="6"/>
        <v>0</v>
      </c>
      <c r="AK35" s="361">
        <f t="shared" si="7"/>
        <v>0</v>
      </c>
      <c r="AL35" s="361">
        <f t="shared" si="8"/>
        <v>0</v>
      </c>
      <c r="AM35" s="361">
        <f t="shared" si="9"/>
        <v>0</v>
      </c>
      <c r="AN35" s="361">
        <f t="shared" si="10"/>
        <v>0</v>
      </c>
    </row>
    <row r="36" spans="2:40" x14ac:dyDescent="0.6">
      <c r="B36" s="77" t="s">
        <v>348</v>
      </c>
      <c r="C36" s="430">
        <f>Drivers!D165</f>
        <v>2.2200000000000002</v>
      </c>
      <c r="D36" s="430">
        <f>Drivers!E165</f>
        <v>2.2400000000000002</v>
      </c>
      <c r="E36" s="430">
        <f>Drivers!F165</f>
        <v>2.2400000000000002</v>
      </c>
      <c r="F36" s="430">
        <f>Drivers!G165</f>
        <v>2.2400000000000002</v>
      </c>
      <c r="G36" s="430">
        <f>Drivers!H165</f>
        <v>2.2400000000000002</v>
      </c>
      <c r="H36" s="430">
        <f>Drivers!I165</f>
        <v>2.2400000000000002</v>
      </c>
      <c r="I36" s="430">
        <f>Drivers!J165</f>
        <v>2.2400000000000002</v>
      </c>
      <c r="J36" s="430">
        <f>Drivers!K165</f>
        <v>2.2400000000000002</v>
      </c>
      <c r="K36" s="430">
        <f>Drivers!L165</f>
        <v>2.2400000000000002</v>
      </c>
      <c r="L36" s="430">
        <f>Drivers!M165</f>
        <v>2.2400000000000002</v>
      </c>
      <c r="M36" s="430">
        <f>Drivers!N165</f>
        <v>2.2400000000000002</v>
      </c>
      <c r="N36" s="430">
        <f>Drivers!O165</f>
        <v>2.2400000000000002</v>
      </c>
      <c r="O36" s="79"/>
      <c r="P36" s="356">
        <v>2.2200000000000002</v>
      </c>
      <c r="Q36" s="356">
        <v>2.2400000000000002</v>
      </c>
      <c r="R36" s="356">
        <v>2.2400000000000002</v>
      </c>
      <c r="S36" s="356">
        <v>2.2400000000000002</v>
      </c>
      <c r="T36" s="356">
        <v>2.2400000000000002</v>
      </c>
      <c r="U36" s="356">
        <v>2.2400000000000002</v>
      </c>
      <c r="V36" s="356">
        <v>2.2400000000000002</v>
      </c>
      <c r="W36" s="356">
        <v>2.2400000000000002</v>
      </c>
      <c r="X36" s="356">
        <v>2.2400000000000002</v>
      </c>
      <c r="Y36" s="356">
        <v>2.2400000000000002</v>
      </c>
      <c r="Z36" s="356">
        <v>2.2400000000000002</v>
      </c>
      <c r="AA36" s="356">
        <v>2.2400000000000002</v>
      </c>
      <c r="AE36" s="361"/>
      <c r="AF36" s="361">
        <f t="shared" si="2"/>
        <v>0</v>
      </c>
      <c r="AG36" s="361">
        <f t="shared" si="3"/>
        <v>0</v>
      </c>
      <c r="AH36" s="361">
        <f t="shared" si="4"/>
        <v>0</v>
      </c>
      <c r="AI36" s="361">
        <f t="shared" si="5"/>
        <v>0</v>
      </c>
      <c r="AJ36" s="361">
        <f t="shared" si="6"/>
        <v>0</v>
      </c>
      <c r="AK36" s="361">
        <f t="shared" si="7"/>
        <v>0</v>
      </c>
      <c r="AL36" s="361">
        <f t="shared" si="8"/>
        <v>0</v>
      </c>
      <c r="AM36" s="361">
        <f t="shared" si="9"/>
        <v>0</v>
      </c>
      <c r="AN36" s="361">
        <f t="shared" si="10"/>
        <v>0</v>
      </c>
    </row>
    <row r="37" spans="2:40" x14ac:dyDescent="0.6">
      <c r="B37" s="79" t="s">
        <v>349</v>
      </c>
      <c r="C37" s="155">
        <f>Drivers!D164</f>
        <v>7.2315315315315303</v>
      </c>
      <c r="D37" s="155">
        <f>Drivers!E164</f>
        <v>7.6324325999999996</v>
      </c>
      <c r="E37" s="155">
        <f>Drivers!F164</f>
        <v>9.2278513800000006</v>
      </c>
      <c r="F37" s="155">
        <f>Drivers!G164</f>
        <v>10.817680860000001</v>
      </c>
      <c r="G37" s="155">
        <f>Drivers!H164</f>
        <v>12.401483039999999</v>
      </c>
      <c r="H37" s="155">
        <f>Drivers!I164</f>
        <v>13.99133277</v>
      </c>
      <c r="I37" s="155">
        <f>Drivers!J164</f>
        <v>15.602115000000001</v>
      </c>
      <c r="J37" s="155">
        <f>Drivers!K164</f>
        <v>17.242299690000003</v>
      </c>
      <c r="K37" s="155">
        <f>Drivers!L164</f>
        <v>18.910877760000005</v>
      </c>
      <c r="L37" s="155">
        <f>Drivers!M164</f>
        <v>20.605479960000007</v>
      </c>
      <c r="M37" s="155">
        <f>Drivers!N164</f>
        <v>22.317308580000006</v>
      </c>
      <c r="N37" s="155">
        <f>Drivers!O164</f>
        <v>24.03754515</v>
      </c>
      <c r="O37" s="79"/>
      <c r="P37" s="350">
        <v>7.2315315315315303</v>
      </c>
      <c r="Q37" s="350">
        <v>7.6324325999999996</v>
      </c>
      <c r="R37" s="350">
        <v>9.2278513800000006</v>
      </c>
      <c r="S37" s="350">
        <v>10.817680860000001</v>
      </c>
      <c r="T37" s="350">
        <v>12.401483039999999</v>
      </c>
      <c r="U37" s="350">
        <v>13.99133277</v>
      </c>
      <c r="V37" s="350">
        <v>15.602115000000001</v>
      </c>
      <c r="W37" s="350">
        <v>17.242299690000003</v>
      </c>
      <c r="X37" s="350">
        <v>18.910877760000005</v>
      </c>
      <c r="Y37" s="350">
        <v>20.605479960000007</v>
      </c>
      <c r="Z37" s="350">
        <v>22.317308580000006</v>
      </c>
      <c r="AA37" s="350">
        <v>24.03754515</v>
      </c>
      <c r="AE37" s="361"/>
      <c r="AF37" s="361">
        <f t="shared" si="2"/>
        <v>0</v>
      </c>
      <c r="AG37" s="361">
        <f t="shared" si="3"/>
        <v>0</v>
      </c>
      <c r="AH37" s="361">
        <f t="shared" si="4"/>
        <v>0</v>
      </c>
      <c r="AI37" s="361">
        <f t="shared" si="5"/>
        <v>0</v>
      </c>
      <c r="AJ37" s="361">
        <f t="shared" si="6"/>
        <v>0</v>
      </c>
      <c r="AK37" s="361">
        <f t="shared" si="7"/>
        <v>0</v>
      </c>
      <c r="AL37" s="361">
        <f t="shared" si="8"/>
        <v>0</v>
      </c>
      <c r="AM37" s="361">
        <f t="shared" si="9"/>
        <v>0</v>
      </c>
      <c r="AN37" s="361">
        <f t="shared" si="10"/>
        <v>0</v>
      </c>
    </row>
    <row r="38" spans="2:40" x14ac:dyDescent="0.6">
      <c r="B38" s="77" t="s">
        <v>350</v>
      </c>
      <c r="C38" s="373">
        <f>Drivers!D163</f>
        <v>0.14365537440554377</v>
      </c>
      <c r="D38" s="373">
        <f>Drivers!E163</f>
        <v>0.15</v>
      </c>
      <c r="E38" s="373">
        <f>Drivers!F163</f>
        <v>0.18</v>
      </c>
      <c r="F38" s="373">
        <f>Drivers!G163</f>
        <v>0.21</v>
      </c>
      <c r="G38" s="373">
        <f>Drivers!H163</f>
        <v>0.24</v>
      </c>
      <c r="H38" s="373">
        <f>Drivers!I163</f>
        <v>0.27</v>
      </c>
      <c r="I38" s="373">
        <f>Drivers!J163</f>
        <v>0.30000000000000004</v>
      </c>
      <c r="J38" s="373">
        <f>Drivers!K163</f>
        <v>0.33000000000000007</v>
      </c>
      <c r="K38" s="373">
        <f>Drivers!L163</f>
        <v>0.3600000000000001</v>
      </c>
      <c r="L38" s="373">
        <f>Drivers!M163</f>
        <v>0.39000000000000012</v>
      </c>
      <c r="M38" s="373">
        <f>Drivers!N163</f>
        <v>0.42000000000000015</v>
      </c>
      <c r="N38" s="373">
        <f>Drivers!O163</f>
        <v>0.45</v>
      </c>
      <c r="O38" s="79"/>
      <c r="P38" s="352">
        <v>0.14365537440554377</v>
      </c>
      <c r="Q38" s="352">
        <v>0.15</v>
      </c>
      <c r="R38" s="352">
        <v>0.18</v>
      </c>
      <c r="S38" s="352">
        <v>0.21</v>
      </c>
      <c r="T38" s="352">
        <v>0.24</v>
      </c>
      <c r="U38" s="352">
        <v>0.27</v>
      </c>
      <c r="V38" s="352">
        <v>0.30000000000000004</v>
      </c>
      <c r="W38" s="352">
        <v>0.33000000000000007</v>
      </c>
      <c r="X38" s="352">
        <v>0.3600000000000001</v>
      </c>
      <c r="Y38" s="352">
        <v>0.39000000000000012</v>
      </c>
      <c r="Z38" s="352">
        <v>0.42000000000000015</v>
      </c>
      <c r="AA38" s="352">
        <v>0.45</v>
      </c>
      <c r="AE38" s="361"/>
      <c r="AF38" s="361">
        <f t="shared" si="2"/>
        <v>0</v>
      </c>
      <c r="AG38" s="361">
        <f t="shared" si="3"/>
        <v>0</v>
      </c>
      <c r="AH38" s="361">
        <f t="shared" si="4"/>
        <v>0</v>
      </c>
      <c r="AI38" s="361">
        <f t="shared" si="5"/>
        <v>0</v>
      </c>
      <c r="AJ38" s="361">
        <f t="shared" si="6"/>
        <v>0</v>
      </c>
      <c r="AK38" s="361">
        <f t="shared" si="7"/>
        <v>0</v>
      </c>
      <c r="AL38" s="361">
        <f t="shared" si="8"/>
        <v>0</v>
      </c>
      <c r="AM38" s="361">
        <f t="shared" si="9"/>
        <v>0</v>
      </c>
      <c r="AN38" s="361">
        <f t="shared" si="10"/>
        <v>0</v>
      </c>
    </row>
    <row r="39" spans="2:40" x14ac:dyDescent="0.6">
      <c r="B39" s="79" t="s">
        <v>351</v>
      </c>
      <c r="C39" s="155">
        <f>Drivers!D171</f>
        <v>0</v>
      </c>
      <c r="D39" s="155">
        <f>Drivers!E171</f>
        <v>0</v>
      </c>
      <c r="E39" s="155">
        <f>Drivers!F171</f>
        <v>3.8126159554731018E-2</v>
      </c>
      <c r="F39" s="155">
        <f>Drivers!G171</f>
        <v>0.20509383378015614</v>
      </c>
      <c r="G39" s="155">
        <f>Drivers!H171</f>
        <v>0.37380191693291076</v>
      </c>
      <c r="H39" s="155">
        <f>Drivers!I171</f>
        <v>0.47380191693291074</v>
      </c>
      <c r="I39" s="155">
        <f>Drivers!J171</f>
        <v>0.6738019169329108</v>
      </c>
      <c r="J39" s="155">
        <f>Drivers!K171</f>
        <v>1.0738019169329109</v>
      </c>
      <c r="K39" s="155">
        <f>Drivers!L171</f>
        <v>1.5738019169329109</v>
      </c>
      <c r="L39" s="155">
        <f>Drivers!M171</f>
        <v>2.0738019169329109</v>
      </c>
      <c r="M39" s="155">
        <f>Drivers!N171</f>
        <v>2.3238019169329109</v>
      </c>
      <c r="N39" s="155">
        <f>Drivers!O171</f>
        <v>2.5238019169329111</v>
      </c>
      <c r="O39" s="79"/>
      <c r="P39" s="350">
        <v>0</v>
      </c>
      <c r="Q39" s="350">
        <v>0</v>
      </c>
      <c r="R39" s="350">
        <v>4.6139256900000002E-2</v>
      </c>
      <c r="S39" s="350">
        <v>0.54088404300000004</v>
      </c>
      <c r="T39" s="350">
        <v>0.99211864319999987</v>
      </c>
      <c r="U39" s="350">
        <v>1.399133277</v>
      </c>
      <c r="V39" s="350">
        <v>1.8722538000000002</v>
      </c>
      <c r="W39" s="350">
        <v>2.4139219566000008</v>
      </c>
      <c r="X39" s="350">
        <v>3.0257404416000009</v>
      </c>
      <c r="Y39" s="350">
        <v>3.7089863928000013</v>
      </c>
      <c r="Z39" s="350">
        <v>4.2402886302000011</v>
      </c>
      <c r="AA39" s="350">
        <v>4.8075090300000003</v>
      </c>
      <c r="AE39" s="361"/>
      <c r="AF39" s="361">
        <f t="shared" si="2"/>
        <v>-0.62081737031359219</v>
      </c>
      <c r="AG39" s="361">
        <f t="shared" si="3"/>
        <v>-0.62322861333676549</v>
      </c>
      <c r="AH39" s="361">
        <f t="shared" si="4"/>
        <v>-0.66136041167655635</v>
      </c>
      <c r="AI39" s="361">
        <f t="shared" si="5"/>
        <v>-0.64011187108664935</v>
      </c>
      <c r="AJ39" s="361">
        <f t="shared" si="6"/>
        <v>-0.55516295214226541</v>
      </c>
      <c r="AK39" s="361">
        <f t="shared" si="7"/>
        <v>-0.47986221974126442</v>
      </c>
      <c r="AL39" s="361">
        <f t="shared" si="8"/>
        <v>-0.44087098271413472</v>
      </c>
      <c r="AM39" s="361">
        <f t="shared" si="9"/>
        <v>-0.45197081623585034</v>
      </c>
      <c r="AN39" s="361">
        <f t="shared" si="10"/>
        <v>-0.47502918846667019</v>
      </c>
    </row>
    <row r="40" spans="2:40" x14ac:dyDescent="0.6">
      <c r="B40" s="77" t="s">
        <v>347</v>
      </c>
      <c r="C40" s="373">
        <f>C39/C37</f>
        <v>0</v>
      </c>
      <c r="D40" s="373">
        <f t="shared" ref="D40:N40" si="22">D39/D37</f>
        <v>0</v>
      </c>
      <c r="E40" s="373">
        <f t="shared" si="22"/>
        <v>4.1316399652213528E-3</v>
      </c>
      <c r="F40" s="373">
        <f t="shared" si="22"/>
        <v>1.8959131484320393E-2</v>
      </c>
      <c r="G40" s="373">
        <f t="shared" si="22"/>
        <v>3.0141710933058761E-2</v>
      </c>
      <c r="H40" s="373">
        <f t="shared" si="22"/>
        <v>3.3863958832344374E-2</v>
      </c>
      <c r="I40" s="373">
        <f t="shared" si="22"/>
        <v>4.3186575469602084E-2</v>
      </c>
      <c r="J40" s="373">
        <f t="shared" si="22"/>
        <v>6.2277186700082858E-2</v>
      </c>
      <c r="K40" s="373">
        <f t="shared" si="22"/>
        <v>8.3222044841397697E-2</v>
      </c>
      <c r="L40" s="373">
        <f t="shared" si="22"/>
        <v>0.10064322311145575</v>
      </c>
      <c r="M40" s="373">
        <f t="shared" si="22"/>
        <v>0.10412554491518844</v>
      </c>
      <c r="N40" s="373">
        <f t="shared" si="22"/>
        <v>0.10499416230666596</v>
      </c>
      <c r="O40" s="79"/>
      <c r="P40" s="352">
        <v>0</v>
      </c>
      <c r="Q40" s="352">
        <v>0</v>
      </c>
      <c r="R40" s="352">
        <v>5.0000000000000001E-3</v>
      </c>
      <c r="S40" s="352">
        <v>4.9999999999999996E-2</v>
      </c>
      <c r="T40" s="352">
        <v>0.08</v>
      </c>
      <c r="U40" s="352">
        <v>0.1</v>
      </c>
      <c r="V40" s="352">
        <v>0.12</v>
      </c>
      <c r="W40" s="352">
        <v>0.14000000000000001</v>
      </c>
      <c r="X40" s="352">
        <v>0.16</v>
      </c>
      <c r="Y40" s="352">
        <v>0.18</v>
      </c>
      <c r="Z40" s="352">
        <v>0.19</v>
      </c>
      <c r="AA40" s="352">
        <v>0.2</v>
      </c>
      <c r="AE40" s="361"/>
      <c r="AF40" s="361">
        <f t="shared" si="2"/>
        <v>-0.62081737031359208</v>
      </c>
      <c r="AG40" s="361">
        <f t="shared" si="3"/>
        <v>-0.62322861333676549</v>
      </c>
      <c r="AH40" s="361">
        <f t="shared" si="4"/>
        <v>-0.66136041167655635</v>
      </c>
      <c r="AI40" s="361">
        <f t="shared" si="5"/>
        <v>-0.64011187108664935</v>
      </c>
      <c r="AJ40" s="361">
        <f t="shared" si="6"/>
        <v>-0.55516295214226541</v>
      </c>
      <c r="AK40" s="361">
        <f t="shared" si="7"/>
        <v>-0.47986221974126442</v>
      </c>
      <c r="AL40" s="361">
        <f t="shared" si="8"/>
        <v>-0.44087098271413472</v>
      </c>
      <c r="AM40" s="361">
        <f t="shared" si="9"/>
        <v>-0.45197081623585034</v>
      </c>
      <c r="AN40" s="361">
        <f t="shared" si="10"/>
        <v>-0.47502918846667019</v>
      </c>
    </row>
    <row r="41" spans="2:40" x14ac:dyDescent="0.6">
      <c r="B41" s="79"/>
      <c r="C41" s="79"/>
      <c r="D41" s="79"/>
      <c r="E41" s="79"/>
      <c r="F41" s="79"/>
      <c r="G41" s="79"/>
      <c r="H41" s="79"/>
      <c r="I41" s="79"/>
      <c r="J41" s="79"/>
      <c r="K41" s="79"/>
      <c r="L41" s="79"/>
      <c r="M41" s="79"/>
      <c r="N41" s="79"/>
      <c r="O41" s="79"/>
      <c r="P41" s="353"/>
      <c r="Q41" s="353"/>
      <c r="R41" s="353"/>
      <c r="S41" s="353"/>
      <c r="T41" s="353"/>
      <c r="U41" s="353"/>
      <c r="V41" s="353"/>
      <c r="W41" s="353"/>
      <c r="X41" s="353"/>
      <c r="Y41" s="353"/>
      <c r="Z41" s="353"/>
      <c r="AA41" s="353"/>
      <c r="AE41" s="361"/>
      <c r="AF41" s="361"/>
      <c r="AG41" s="361"/>
      <c r="AH41" s="361"/>
      <c r="AI41" s="361"/>
      <c r="AJ41" s="361"/>
      <c r="AK41" s="361"/>
      <c r="AL41" s="361"/>
      <c r="AM41" s="361"/>
      <c r="AN41" s="361"/>
    </row>
    <row r="42" spans="2:40" x14ac:dyDescent="0.6">
      <c r="B42" s="371" t="s">
        <v>473</v>
      </c>
      <c r="C42" s="77"/>
      <c r="D42" s="77"/>
      <c r="E42" s="77"/>
      <c r="F42" s="77"/>
      <c r="G42" s="77"/>
      <c r="H42" s="77"/>
      <c r="I42" s="77"/>
      <c r="J42" s="77"/>
      <c r="K42" s="77"/>
      <c r="L42" s="77"/>
      <c r="M42" s="77"/>
      <c r="N42" s="78"/>
      <c r="O42" s="79"/>
      <c r="P42" s="353"/>
      <c r="Q42" s="353"/>
      <c r="R42" s="353"/>
      <c r="S42" s="353"/>
      <c r="T42" s="353"/>
      <c r="U42" s="353"/>
      <c r="V42" s="353"/>
      <c r="W42" s="353"/>
      <c r="X42" s="353"/>
      <c r="Y42" s="353"/>
      <c r="Z42" s="353"/>
      <c r="AA42" s="357"/>
      <c r="AE42" s="361"/>
      <c r="AF42" s="361"/>
      <c r="AG42" s="361"/>
      <c r="AH42" s="361"/>
      <c r="AI42" s="361"/>
      <c r="AJ42" s="361"/>
      <c r="AK42" s="361"/>
      <c r="AL42" s="361"/>
      <c r="AM42" s="361"/>
      <c r="AN42" s="361"/>
    </row>
    <row r="43" spans="2:40" x14ac:dyDescent="0.6">
      <c r="B43" s="79" t="str">
        <f>B6</f>
        <v>Brazil</v>
      </c>
      <c r="C43" s="80">
        <f>Drivers!D102</f>
        <v>2786.5</v>
      </c>
      <c r="D43" s="80">
        <f>Drivers!E102</f>
        <v>2908.9</v>
      </c>
      <c r="E43" s="80">
        <f>Drivers!F102</f>
        <v>4651.4038342609774</v>
      </c>
      <c r="F43" s="80">
        <f>Drivers!G102</f>
        <v>7849.1857313077162</v>
      </c>
      <c r="G43" s="80">
        <f>Drivers!H102</f>
        <v>11733.617307692306</v>
      </c>
      <c r="H43" s="80">
        <f>Drivers!I102</f>
        <v>12914.323679005076</v>
      </c>
      <c r="I43" s="80">
        <f>Drivers!J102</f>
        <v>15508.457676679607</v>
      </c>
      <c r="J43" s="80">
        <f>Drivers!K102</f>
        <v>18142.025075501937</v>
      </c>
      <c r="K43" s="80">
        <f>Drivers!L102</f>
        <v>20553.466006874161</v>
      </c>
      <c r="L43" s="80">
        <f>Drivers!M102</f>
        <v>23002.959996056095</v>
      </c>
      <c r="M43" s="80">
        <f>Drivers!N102</f>
        <v>25705.262299232472</v>
      </c>
      <c r="N43" s="80">
        <f>Drivers!O102</f>
        <v>28683.863426496609</v>
      </c>
      <c r="O43" s="79"/>
      <c r="P43" s="357">
        <v>2786.5</v>
      </c>
      <c r="Q43" s="357">
        <v>2908.9</v>
      </c>
      <c r="R43" s="357">
        <v>4646.6909523493541</v>
      </c>
      <c r="S43" s="357">
        <v>5753.6843837586757</v>
      </c>
      <c r="T43" s="357">
        <v>6582.3210505059469</v>
      </c>
      <c r="U43" s="357">
        <v>7503.7972604302095</v>
      </c>
      <c r="V43" s="357">
        <v>8410.1703608794487</v>
      </c>
      <c r="W43" s="357">
        <v>9400.1979159084713</v>
      </c>
      <c r="X43" s="357">
        <v>10480.280824653915</v>
      </c>
      <c r="Y43" s="357">
        <v>11657.402134158674</v>
      </c>
      <c r="Z43" s="357">
        <v>12939.074965425836</v>
      </c>
      <c r="AA43" s="357">
        <v>14333.320512705754</v>
      </c>
      <c r="AE43" s="361"/>
      <c r="AF43" s="361">
        <f t="shared" si="2"/>
        <v>0.36420165024417361</v>
      </c>
      <c r="AG43" s="361">
        <f t="shared" si="3"/>
        <v>0.78259571626188107</v>
      </c>
      <c r="AH43" s="361">
        <f t="shared" si="4"/>
        <v>0.72103845970175762</v>
      </c>
      <c r="AI43" s="361">
        <f t="shared" si="5"/>
        <v>0.8440123102402759</v>
      </c>
      <c r="AJ43" s="361">
        <f t="shared" si="6"/>
        <v>0.92996203248010256</v>
      </c>
      <c r="AK43" s="361">
        <f t="shared" si="7"/>
        <v>0.96115603682336315</v>
      </c>
      <c r="AL43" s="361">
        <f t="shared" si="8"/>
        <v>0.97324924810241531</v>
      </c>
      <c r="AM43" s="361">
        <f t="shared" si="9"/>
        <v>0.98663833140458901</v>
      </c>
      <c r="AN43" s="361">
        <f t="shared" si="10"/>
        <v>1.0012015639411564</v>
      </c>
    </row>
    <row r="44" spans="2:40" x14ac:dyDescent="0.6">
      <c r="B44" s="77" t="str">
        <f>B7</f>
        <v>Mexico</v>
      </c>
      <c r="C44" s="78">
        <f>Drivers!D151</f>
        <v>0</v>
      </c>
      <c r="D44" s="78">
        <f>Drivers!E151</f>
        <v>0</v>
      </c>
      <c r="E44" s="78">
        <f>Drivers!F151</f>
        <v>124.16883116883116</v>
      </c>
      <c r="F44" s="78">
        <f>Drivers!G151</f>
        <v>353.1581769436998</v>
      </c>
      <c r="G44" s="78">
        <f>Drivers!H151</f>
        <v>620.70000000000005</v>
      </c>
      <c r="H44" s="78">
        <f>Drivers!I151</f>
        <v>818.39254191321493</v>
      </c>
      <c r="I44" s="78">
        <f>Drivers!J151</f>
        <v>1840.3479541420118</v>
      </c>
      <c r="J44" s="78">
        <f>Drivers!K151</f>
        <v>3391.7104757396451</v>
      </c>
      <c r="K44" s="78">
        <f>Drivers!L151</f>
        <v>4930.6902159763313</v>
      </c>
      <c r="L44" s="78">
        <f>Drivers!M151</f>
        <v>6280.6105392071022</v>
      </c>
      <c r="M44" s="78">
        <f>Drivers!N151</f>
        <v>7379.9398090260374</v>
      </c>
      <c r="N44" s="78">
        <f>Drivers!O151</f>
        <v>8377.1313086726659</v>
      </c>
      <c r="O44" s="79"/>
      <c r="P44" s="357">
        <v>0</v>
      </c>
      <c r="Q44" s="357">
        <v>0</v>
      </c>
      <c r="R44" s="357">
        <v>146.62912521809102</v>
      </c>
      <c r="S44" s="357">
        <v>341.5133186472853</v>
      </c>
      <c r="T44" s="357">
        <v>571.45844948818853</v>
      </c>
      <c r="U44" s="357">
        <v>818.30805909244998</v>
      </c>
      <c r="V44" s="357">
        <v>1128.618666720035</v>
      </c>
      <c r="W44" s="357">
        <v>1511.9906732099851</v>
      </c>
      <c r="X44" s="357">
        <v>1830.6853897875233</v>
      </c>
      <c r="Y44" s="357">
        <v>2195.293884610996</v>
      </c>
      <c r="Z44" s="357">
        <v>2611.0917685739423</v>
      </c>
      <c r="AA44" s="357">
        <v>3083.8696953374515</v>
      </c>
      <c r="AE44" s="361"/>
      <c r="AF44" s="361">
        <f t="shared" si="2"/>
        <v>3.4097815987204072E-2</v>
      </c>
      <c r="AG44" s="361">
        <f t="shared" si="3"/>
        <v>8.6168207952675102E-2</v>
      </c>
      <c r="AH44" s="361">
        <f t="shared" si="4"/>
        <v>1.0324085144497452E-4</v>
      </c>
      <c r="AI44" s="361">
        <f t="shared" si="5"/>
        <v>0.63061980845167809</v>
      </c>
      <c r="AJ44" s="361">
        <f t="shared" si="6"/>
        <v>1.2432085963460202</v>
      </c>
      <c r="AK44" s="361">
        <f t="shared" si="7"/>
        <v>1.6933574952212882</v>
      </c>
      <c r="AL44" s="361">
        <f t="shared" si="8"/>
        <v>1.860942939455243</v>
      </c>
      <c r="AM44" s="361">
        <f t="shared" si="9"/>
        <v>1.8263808640692165</v>
      </c>
      <c r="AN44" s="361">
        <f t="shared" si="10"/>
        <v>1.716434913361669</v>
      </c>
    </row>
    <row r="45" spans="2:40" x14ac:dyDescent="0.6">
      <c r="B45" s="81" t="str">
        <f>B8</f>
        <v>Colombia</v>
      </c>
      <c r="C45" s="310">
        <f>Drivers!D181</f>
        <v>0</v>
      </c>
      <c r="D45" s="310">
        <f>Drivers!E181</f>
        <v>0</v>
      </c>
      <c r="E45" s="310">
        <f>Drivers!F181</f>
        <v>0</v>
      </c>
      <c r="F45" s="310">
        <f>Drivers!G181</f>
        <v>0</v>
      </c>
      <c r="G45" s="310">
        <f>Drivers!H181</f>
        <v>0</v>
      </c>
      <c r="H45" s="310">
        <f>Drivers!I181</f>
        <v>0</v>
      </c>
      <c r="I45" s="310">
        <f>Drivers!J181</f>
        <v>0</v>
      </c>
      <c r="J45" s="310">
        <f>Drivers!K181</f>
        <v>4.2590327169274449</v>
      </c>
      <c r="K45" s="310">
        <f>Drivers!L181</f>
        <v>1.686997917286519</v>
      </c>
      <c r="L45" s="310">
        <f>Drivers!M181</f>
        <v>0.44947218838814385</v>
      </c>
      <c r="M45" s="310">
        <f>Drivers!N181</f>
        <v>0.23260668618086555</v>
      </c>
      <c r="N45" s="310">
        <f>Drivers!O181</f>
        <v>0.19467244105313819</v>
      </c>
      <c r="O45" s="79"/>
      <c r="P45" s="358">
        <v>0</v>
      </c>
      <c r="Q45" s="358">
        <v>0</v>
      </c>
      <c r="R45" s="358">
        <v>7.4728722726251702</v>
      </c>
      <c r="S45" s="358">
        <v>92.85964052226656</v>
      </c>
      <c r="T45" s="358">
        <v>180.54784322186089</v>
      </c>
      <c r="U45" s="358">
        <v>269.89425822214162</v>
      </c>
      <c r="V45" s="358">
        <v>382.82927894928565</v>
      </c>
      <c r="W45" s="358">
        <v>523.20214396687493</v>
      </c>
      <c r="X45" s="358">
        <v>695.15848046052054</v>
      </c>
      <c r="Y45" s="358">
        <v>903.2610028223155</v>
      </c>
      <c r="Z45" s="358">
        <v>1094.6097321559159</v>
      </c>
      <c r="AA45" s="358">
        <v>1315.4969928785895</v>
      </c>
      <c r="AE45" s="361"/>
      <c r="AF45" s="361">
        <f t="shared" si="2"/>
        <v>-1</v>
      </c>
      <c r="AG45" s="361">
        <f t="shared" si="3"/>
        <v>-1</v>
      </c>
      <c r="AH45" s="361">
        <f t="shared" si="4"/>
        <v>-1</v>
      </c>
      <c r="AI45" s="361">
        <f t="shared" si="5"/>
        <v>-1</v>
      </c>
      <c r="AJ45" s="361">
        <f t="shared" si="6"/>
        <v>-0.99185968030513827</v>
      </c>
      <c r="AK45" s="361">
        <f t="shared" si="7"/>
        <v>-0.99757321824489731</v>
      </c>
      <c r="AL45" s="361">
        <f t="shared" si="8"/>
        <v>-0.99950238946773551</v>
      </c>
      <c r="AM45" s="361">
        <f t="shared" si="9"/>
        <v>-0.99978749806497447</v>
      </c>
      <c r="AN45" s="361">
        <f t="shared" si="10"/>
        <v>-0.9998520160501263</v>
      </c>
    </row>
    <row r="46" spans="2:40" x14ac:dyDescent="0.6">
      <c r="B46" s="77" t="s">
        <v>353</v>
      </c>
      <c r="C46" s="78">
        <f>SUM(C43:C45)</f>
        <v>2786.5</v>
      </c>
      <c r="D46" s="78">
        <f t="shared" ref="D46:N46" si="23">SUM(D43:D45)</f>
        <v>2908.9</v>
      </c>
      <c r="E46" s="78">
        <f t="shared" si="23"/>
        <v>4775.5726654298087</v>
      </c>
      <c r="F46" s="78">
        <f t="shared" si="23"/>
        <v>8202.343908251416</v>
      </c>
      <c r="G46" s="78">
        <f t="shared" si="23"/>
        <v>12354.317307692307</v>
      </c>
      <c r="H46" s="78">
        <f t="shared" si="23"/>
        <v>13732.716220918292</v>
      </c>
      <c r="I46" s="78">
        <f t="shared" si="23"/>
        <v>17348.805630821618</v>
      </c>
      <c r="J46" s="78">
        <f t="shared" si="23"/>
        <v>21537.994583958509</v>
      </c>
      <c r="K46" s="78">
        <f t="shared" si="23"/>
        <v>25485.84322076778</v>
      </c>
      <c r="L46" s="78">
        <f t="shared" si="23"/>
        <v>29284.020007451589</v>
      </c>
      <c r="M46" s="78">
        <f t="shared" si="23"/>
        <v>33085.434714944691</v>
      </c>
      <c r="N46" s="78">
        <f t="shared" si="23"/>
        <v>37061.189407610327</v>
      </c>
      <c r="O46" s="79"/>
      <c r="P46" s="357">
        <v>2786.5</v>
      </c>
      <c r="Q46" s="357">
        <v>2908.9</v>
      </c>
      <c r="R46" s="357">
        <v>4800.7929498400699</v>
      </c>
      <c r="S46" s="357">
        <v>6188.0573429282276</v>
      </c>
      <c r="T46" s="357">
        <v>7334.3273432159958</v>
      </c>
      <c r="U46" s="357">
        <v>8591.9995777448021</v>
      </c>
      <c r="V46" s="357">
        <v>9921.6183065487694</v>
      </c>
      <c r="W46" s="357">
        <v>11435.390733085331</v>
      </c>
      <c r="X46" s="357">
        <v>13006.124694901959</v>
      </c>
      <c r="Y46" s="357">
        <v>14755.957021591985</v>
      </c>
      <c r="Z46" s="357">
        <v>16644.776466155694</v>
      </c>
      <c r="AA46" s="357">
        <v>18732.687200921795</v>
      </c>
      <c r="AE46" s="361"/>
      <c r="AF46" s="361">
        <f t="shared" si="2"/>
        <v>0.32551194239095649</v>
      </c>
      <c r="AG46" s="361">
        <f t="shared" si="3"/>
        <v>0.68445131087851308</v>
      </c>
      <c r="AH46" s="361">
        <f t="shared" si="4"/>
        <v>0.59831435007155886</v>
      </c>
      <c r="AI46" s="361">
        <f t="shared" si="5"/>
        <v>0.7485862784471895</v>
      </c>
      <c r="AJ46" s="361">
        <f t="shared" si="6"/>
        <v>0.88345069151366373</v>
      </c>
      <c r="AK46" s="361">
        <f t="shared" si="7"/>
        <v>0.95952628616251268</v>
      </c>
      <c r="AL46" s="361">
        <f t="shared" si="8"/>
        <v>0.98455579428708617</v>
      </c>
      <c r="AM46" s="361">
        <f t="shared" si="9"/>
        <v>0.98773680032400946</v>
      </c>
      <c r="AN46" s="361">
        <f t="shared" si="10"/>
        <v>0.97842354436936452</v>
      </c>
    </row>
    <row r="47" spans="2:40" x14ac:dyDescent="0.6">
      <c r="B47" s="79"/>
      <c r="C47" s="80"/>
      <c r="D47" s="80"/>
      <c r="E47" s="80"/>
      <c r="F47" s="80"/>
      <c r="G47" s="80"/>
      <c r="H47" s="80"/>
      <c r="I47" s="80"/>
      <c r="J47" s="80"/>
      <c r="K47" s="80"/>
      <c r="L47" s="80"/>
      <c r="M47" s="80"/>
      <c r="N47" s="80"/>
      <c r="O47" s="79"/>
      <c r="P47" s="357"/>
      <c r="Q47" s="357"/>
      <c r="R47" s="357"/>
      <c r="S47" s="357"/>
      <c r="T47" s="357"/>
      <c r="U47" s="357"/>
      <c r="V47" s="357"/>
      <c r="W47" s="357"/>
      <c r="X47" s="357"/>
      <c r="Y47" s="357"/>
      <c r="Z47" s="357"/>
      <c r="AA47" s="357"/>
      <c r="AE47" s="361"/>
      <c r="AF47" s="361"/>
      <c r="AG47" s="361"/>
      <c r="AH47" s="361"/>
      <c r="AI47" s="361"/>
      <c r="AJ47" s="361"/>
      <c r="AK47" s="361"/>
      <c r="AL47" s="361"/>
      <c r="AM47" s="361"/>
      <c r="AN47" s="361"/>
    </row>
    <row r="48" spans="2:40" x14ac:dyDescent="0.6">
      <c r="B48" s="371" t="s">
        <v>474</v>
      </c>
      <c r="C48" s="78"/>
      <c r="D48" s="78"/>
      <c r="E48" s="78"/>
      <c r="F48" s="78"/>
      <c r="G48" s="78"/>
      <c r="H48" s="78"/>
      <c r="I48" s="78"/>
      <c r="J48" s="78"/>
      <c r="K48" s="78"/>
      <c r="L48" s="78"/>
      <c r="M48" s="78"/>
      <c r="N48" s="78"/>
      <c r="O48" s="79"/>
      <c r="P48" s="357"/>
      <c r="Q48" s="357"/>
      <c r="R48" s="357"/>
      <c r="S48" s="357"/>
      <c r="T48" s="357"/>
      <c r="U48" s="357"/>
      <c r="V48" s="357"/>
      <c r="W48" s="357"/>
      <c r="X48" s="357"/>
      <c r="Y48" s="357"/>
      <c r="Z48" s="357"/>
      <c r="AA48" s="357"/>
      <c r="AE48" s="361"/>
      <c r="AF48" s="361"/>
      <c r="AG48" s="361"/>
      <c r="AH48" s="361"/>
      <c r="AI48" s="361"/>
      <c r="AJ48" s="361"/>
      <c r="AK48" s="361"/>
      <c r="AL48" s="361"/>
      <c r="AM48" s="361"/>
      <c r="AN48" s="361"/>
    </row>
    <row r="49" spans="2:40" x14ac:dyDescent="0.6">
      <c r="B49" s="79" t="str">
        <f>B43</f>
        <v>Brazil</v>
      </c>
      <c r="C49" s="80">
        <f>Drivers!D98</f>
        <v>58</v>
      </c>
      <c r="D49" s="80">
        <f>Drivers!E98</f>
        <v>202.32558139534882</v>
      </c>
      <c r="E49" s="80">
        <f>Drivers!F98</f>
        <v>1163.7759740259739</v>
      </c>
      <c r="F49" s="80">
        <f>Drivers!G98</f>
        <v>1601.2359249329759</v>
      </c>
      <c r="G49" s="80">
        <f>Drivers!H98</f>
        <v>3041.9</v>
      </c>
      <c r="H49" s="80">
        <f>Drivers!I98</f>
        <v>4812.0126517369308</v>
      </c>
      <c r="I49" s="80">
        <f>Drivers!J98</f>
        <v>6496.5632678054135</v>
      </c>
      <c r="J49" s="80">
        <f>Drivers!K98</f>
        <v>8142.6177826600006</v>
      </c>
      <c r="K49" s="80">
        <f>Drivers!L98</f>
        <v>9925.6588735068381</v>
      </c>
      <c r="L49" s="80">
        <f>Drivers!M98</f>
        <v>11818.862166222203</v>
      </c>
      <c r="M49" s="80">
        <f>Drivers!N98</f>
        <v>13293.712350471784</v>
      </c>
      <c r="N49" s="80">
        <f>Drivers!O98</f>
        <v>14912.842078951946</v>
      </c>
      <c r="O49" s="79"/>
      <c r="P49" s="357">
        <v>58</v>
      </c>
      <c r="Q49" s="357">
        <v>202.32558139534882</v>
      </c>
      <c r="R49" s="357">
        <v>989.30186396232193</v>
      </c>
      <c r="S49" s="357">
        <v>2982.500065702608</v>
      </c>
      <c r="T49" s="357">
        <v>4181.2698894978093</v>
      </c>
      <c r="U49" s="357">
        <v>4995.7534395284129</v>
      </c>
      <c r="V49" s="357">
        <v>5807.088894751746</v>
      </c>
      <c r="W49" s="357">
        <v>6674.7569801628124</v>
      </c>
      <c r="X49" s="357">
        <v>6991.3803040943885</v>
      </c>
      <c r="Y49" s="357">
        <v>7395.6557168531481</v>
      </c>
      <c r="Z49" s="357">
        <v>7807.6879993508155</v>
      </c>
      <c r="AA49" s="357">
        <v>8227.5095407157332</v>
      </c>
      <c r="AE49" s="361"/>
      <c r="AF49" s="361">
        <f t="shared" si="2"/>
        <v>-0.463122920483235</v>
      </c>
      <c r="AG49" s="361">
        <f t="shared" si="3"/>
        <v>-0.27249374462997245</v>
      </c>
      <c r="AH49" s="361">
        <f t="shared" si="4"/>
        <v>-3.6779394743073346E-2</v>
      </c>
      <c r="AI49" s="361">
        <f t="shared" si="5"/>
        <v>0.11872977761314996</v>
      </c>
      <c r="AJ49" s="361">
        <f t="shared" si="6"/>
        <v>0.21991224652217722</v>
      </c>
      <c r="AK49" s="361">
        <f t="shared" si="7"/>
        <v>0.41969946445253981</v>
      </c>
      <c r="AL49" s="361">
        <f t="shared" si="8"/>
        <v>0.59808171428119561</v>
      </c>
      <c r="AM49" s="361">
        <f t="shared" si="9"/>
        <v>0.702643900675477</v>
      </c>
      <c r="AN49" s="361">
        <f t="shared" si="10"/>
        <v>0.81255846683036936</v>
      </c>
    </row>
    <row r="50" spans="2:40" x14ac:dyDescent="0.6">
      <c r="B50" s="77" t="str">
        <f>B44</f>
        <v>Mexico</v>
      </c>
      <c r="C50" s="78">
        <f>Drivers!D148</f>
        <v>0</v>
      </c>
      <c r="D50" s="78">
        <f>Drivers!E148</f>
        <v>0</v>
      </c>
      <c r="E50" s="78">
        <f>Drivers!F148</f>
        <v>31.034025974025969</v>
      </c>
      <c r="F50" s="78">
        <f>Drivers!G148</f>
        <v>71.764075067024137</v>
      </c>
      <c r="G50" s="78">
        <f>Drivers!H148</f>
        <v>160.10000000000002</v>
      </c>
      <c r="H50" s="78">
        <f>Drivers!I148</f>
        <v>303.58290357529802</v>
      </c>
      <c r="I50" s="78">
        <f>Drivers!J148</f>
        <v>617.55366061755171</v>
      </c>
      <c r="J50" s="78">
        <f>Drivers!K148</f>
        <v>1101.2503651137599</v>
      </c>
      <c r="K50" s="78">
        <f>Drivers!L148</f>
        <v>1783.9043846830996</v>
      </c>
      <c r="L50" s="78">
        <f>Drivers!M148</f>
        <v>2447.092591981042</v>
      </c>
      <c r="M50" s="78">
        <f>Drivers!N148</f>
        <v>3080.8076340434741</v>
      </c>
      <c r="N50" s="78">
        <f>Drivers!O148</f>
        <v>3497.0922195840212</v>
      </c>
      <c r="O50" s="79"/>
      <c r="P50" s="357">
        <v>0</v>
      </c>
      <c r="Q50" s="357">
        <v>0</v>
      </c>
      <c r="R50" s="357">
        <v>6.2436029586206905</v>
      </c>
      <c r="S50" s="357">
        <v>40.852625660939601</v>
      </c>
      <c r="T50" s="357">
        <v>170.82635098828806</v>
      </c>
      <c r="U50" s="357">
        <v>286.73660035555952</v>
      </c>
      <c r="V50" s="357">
        <v>445.31042397400302</v>
      </c>
      <c r="W50" s="357">
        <v>653.5032812640751</v>
      </c>
      <c r="X50" s="357">
        <v>743.36810276335689</v>
      </c>
      <c r="Y50" s="357">
        <v>847.7499537080306</v>
      </c>
      <c r="Z50" s="357">
        <v>959.05067770845187</v>
      </c>
      <c r="AA50" s="357">
        <v>1077.5012957459066</v>
      </c>
      <c r="AE50" s="361"/>
      <c r="AF50" s="361">
        <f t="shared" si="2"/>
        <v>0.75665759314069958</v>
      </c>
      <c r="AG50" s="361">
        <f t="shared" si="3"/>
        <v>-6.2790962437776598E-2</v>
      </c>
      <c r="AH50" s="361">
        <f t="shared" si="4"/>
        <v>5.8751841232855151E-2</v>
      </c>
      <c r="AI50" s="361">
        <f t="shared" si="5"/>
        <v>0.38679363286947033</v>
      </c>
      <c r="AJ50" s="361">
        <f t="shared" si="6"/>
        <v>0.68514894521050462</v>
      </c>
      <c r="AK50" s="361">
        <f t="shared" si="7"/>
        <v>1.3997591207528393</v>
      </c>
      <c r="AL50" s="361">
        <f t="shared" si="8"/>
        <v>1.8865735483411576</v>
      </c>
      <c r="AM50" s="361">
        <f t="shared" si="9"/>
        <v>2.2123512402960097</v>
      </c>
      <c r="AN50" s="361">
        <f t="shared" si="10"/>
        <v>2.2455573217321643</v>
      </c>
    </row>
    <row r="51" spans="2:40" x14ac:dyDescent="0.6">
      <c r="B51" s="81" t="str">
        <f>B45</f>
        <v>Colombia</v>
      </c>
      <c r="C51" s="310">
        <f>Drivers!D179</f>
        <v>0</v>
      </c>
      <c r="D51" s="310">
        <f>Drivers!E179</f>
        <v>0</v>
      </c>
      <c r="E51" s="310">
        <f>Drivers!F179</f>
        <v>0</v>
      </c>
      <c r="F51" s="310">
        <f>Drivers!G179</f>
        <v>0</v>
      </c>
      <c r="G51" s="310">
        <f>Drivers!H179</f>
        <v>0</v>
      </c>
      <c r="H51" s="310">
        <f>Drivers!I179</f>
        <v>0</v>
      </c>
      <c r="I51" s="310">
        <f>Drivers!J179</f>
        <v>6.0360128385699152</v>
      </c>
      <c r="J51" s="310">
        <f>Drivers!K179</f>
        <v>31.743588997833278</v>
      </c>
      <c r="K51" s="310">
        <f>Drivers!L179</f>
        <v>85.294957524377281</v>
      </c>
      <c r="L51" s="310">
        <f>Drivers!M179</f>
        <v>123.63266874133291</v>
      </c>
      <c r="M51" s="310">
        <f>Drivers!N179</f>
        <v>152.39045412095103</v>
      </c>
      <c r="N51" s="310">
        <f>Drivers!O179</f>
        <v>182.05667581787284</v>
      </c>
      <c r="O51" s="79"/>
      <c r="P51" s="358">
        <v>0</v>
      </c>
      <c r="Q51" s="358">
        <v>0</v>
      </c>
      <c r="R51" s="358">
        <v>0.31820177172413799</v>
      </c>
      <c r="S51" s="358">
        <v>11.108088399865771</v>
      </c>
      <c r="T51" s="358">
        <v>33.732033868800002</v>
      </c>
      <c r="U51" s="358">
        <v>66.199999912931943</v>
      </c>
      <c r="V51" s="358">
        <v>113.28751256658309</v>
      </c>
      <c r="W51" s="358">
        <v>177.67765951366962</v>
      </c>
      <c r="X51" s="358">
        <v>221.78832505058571</v>
      </c>
      <c r="Y51" s="358">
        <v>274.0646469010012</v>
      </c>
      <c r="Z51" s="358">
        <v>315.89545357827672</v>
      </c>
      <c r="AA51" s="358">
        <v>361.14057982122409</v>
      </c>
      <c r="AE51" s="361"/>
      <c r="AF51" s="361">
        <f t="shared" si="2"/>
        <v>-1</v>
      </c>
      <c r="AG51" s="361">
        <f t="shared" si="3"/>
        <v>-1</v>
      </c>
      <c r="AH51" s="361">
        <f t="shared" si="4"/>
        <v>-1</v>
      </c>
      <c r="AI51" s="361">
        <f t="shared" si="5"/>
        <v>-0.9467195218447193</v>
      </c>
      <c r="AJ51" s="361">
        <f t="shared" si="6"/>
        <v>-0.82134169774230348</v>
      </c>
      <c r="AK51" s="361">
        <f t="shared" si="7"/>
        <v>-0.61542178784693413</v>
      </c>
      <c r="AL51" s="361">
        <f t="shared" si="8"/>
        <v>-0.54889231376861236</v>
      </c>
      <c r="AM51" s="361">
        <f t="shared" si="9"/>
        <v>-0.51759212614565309</v>
      </c>
      <c r="AN51" s="361">
        <f t="shared" si="10"/>
        <v>-0.49588419028402564</v>
      </c>
    </row>
    <row r="52" spans="2:40" x14ac:dyDescent="0.6">
      <c r="B52" s="77" t="s">
        <v>353</v>
      </c>
      <c r="C52" s="78">
        <f>SUM(C49:C51)</f>
        <v>58</v>
      </c>
      <c r="D52" s="78">
        <f t="shared" ref="D52:N52" si="24">SUM(D49:D51)</f>
        <v>202.32558139534882</v>
      </c>
      <c r="E52" s="78">
        <f t="shared" si="24"/>
        <v>1194.81</v>
      </c>
      <c r="F52" s="78">
        <f t="shared" si="24"/>
        <v>1673</v>
      </c>
      <c r="G52" s="78">
        <f t="shared" si="24"/>
        <v>3202</v>
      </c>
      <c r="H52" s="78">
        <f t="shared" si="24"/>
        <v>5115.5955553122285</v>
      </c>
      <c r="I52" s="78">
        <f t="shared" si="24"/>
        <v>7120.1529412615355</v>
      </c>
      <c r="J52" s="78">
        <f t="shared" si="24"/>
        <v>9275.6117367715942</v>
      </c>
      <c r="K52" s="78">
        <f t="shared" si="24"/>
        <v>11794.858215714314</v>
      </c>
      <c r="L52" s="78">
        <f t="shared" si="24"/>
        <v>14389.587426944578</v>
      </c>
      <c r="M52" s="78">
        <f t="shared" si="24"/>
        <v>16526.910438636209</v>
      </c>
      <c r="N52" s="78">
        <f t="shared" si="24"/>
        <v>18591.990974353841</v>
      </c>
      <c r="O52" s="79"/>
      <c r="P52" s="357">
        <v>58</v>
      </c>
      <c r="Q52" s="357">
        <v>202.32558139534882</v>
      </c>
      <c r="R52" s="357">
        <v>995.86366869266681</v>
      </c>
      <c r="S52" s="357">
        <v>3034.4607797634135</v>
      </c>
      <c r="T52" s="357">
        <v>4385.8282743548971</v>
      </c>
      <c r="U52" s="357">
        <v>5348.6900397969048</v>
      </c>
      <c r="V52" s="357">
        <v>6365.6868312923325</v>
      </c>
      <c r="W52" s="357">
        <v>7505.937920940557</v>
      </c>
      <c r="X52" s="357">
        <v>7956.5367319083307</v>
      </c>
      <c r="Y52" s="357">
        <v>8517.4703174621791</v>
      </c>
      <c r="Z52" s="357">
        <v>9082.6341306375434</v>
      </c>
      <c r="AA52" s="357">
        <v>9666.1514162828626</v>
      </c>
      <c r="AE52" s="361"/>
      <c r="AF52" s="361">
        <f t="shared" si="2"/>
        <v>-0.44866646121870846</v>
      </c>
      <c r="AG52" s="361">
        <f t="shared" si="3"/>
        <v>-0.26992125553046742</v>
      </c>
      <c r="AH52" s="361">
        <f t="shared" si="4"/>
        <v>-4.3579733121631214E-2</v>
      </c>
      <c r="AI52" s="361">
        <f t="shared" si="5"/>
        <v>0.11852077080833001</v>
      </c>
      <c r="AJ52" s="361">
        <f t="shared" si="6"/>
        <v>0.23576984441796212</v>
      </c>
      <c r="AK52" s="361">
        <f t="shared" si="7"/>
        <v>0.48241108074233496</v>
      </c>
      <c r="AL52" s="361">
        <f t="shared" si="8"/>
        <v>0.68942031972141038</v>
      </c>
      <c r="AM52" s="361">
        <f t="shared" si="9"/>
        <v>0.81961644616814744</v>
      </c>
      <c r="AN52" s="361">
        <f t="shared" si="10"/>
        <v>0.92341193238864316</v>
      </c>
    </row>
    <row r="53" spans="2:40" x14ac:dyDescent="0.6">
      <c r="B53" s="79"/>
      <c r="C53" s="79"/>
      <c r="D53" s="79"/>
      <c r="E53" s="79"/>
      <c r="F53" s="79"/>
      <c r="G53" s="79"/>
      <c r="H53" s="79"/>
      <c r="I53" s="79"/>
      <c r="J53" s="79"/>
      <c r="K53" s="79"/>
      <c r="L53" s="79"/>
      <c r="M53" s="79"/>
      <c r="N53" s="79"/>
      <c r="O53" s="79"/>
      <c r="P53" s="353"/>
      <c r="Q53" s="353"/>
      <c r="R53" s="353"/>
      <c r="S53" s="353"/>
      <c r="T53" s="353"/>
      <c r="U53" s="353"/>
      <c r="V53" s="353"/>
      <c r="W53" s="353"/>
      <c r="X53" s="353"/>
      <c r="Y53" s="353"/>
      <c r="Z53" s="353"/>
      <c r="AA53" s="353"/>
      <c r="AE53" s="361"/>
      <c r="AF53" s="361"/>
      <c r="AG53" s="361"/>
      <c r="AH53" s="361"/>
      <c r="AI53" s="361"/>
      <c r="AJ53" s="361"/>
      <c r="AK53" s="361"/>
      <c r="AL53" s="361"/>
      <c r="AM53" s="361"/>
      <c r="AN53" s="361"/>
    </row>
    <row r="54" spans="2:40" x14ac:dyDescent="0.6">
      <c r="B54" s="387" t="s">
        <v>360</v>
      </c>
      <c r="C54" s="79"/>
      <c r="D54" s="79"/>
      <c r="E54" s="79"/>
      <c r="F54" s="79"/>
      <c r="G54" s="79"/>
      <c r="H54" s="79"/>
      <c r="I54" s="79"/>
      <c r="J54" s="79"/>
      <c r="K54" s="79"/>
      <c r="L54" s="79"/>
      <c r="M54" s="79"/>
      <c r="N54" s="79"/>
      <c r="O54" s="79"/>
      <c r="P54" s="353"/>
      <c r="Q54" s="353"/>
      <c r="R54" s="353"/>
      <c r="S54" s="353"/>
      <c r="T54" s="353"/>
      <c r="U54" s="353"/>
      <c r="V54" s="353"/>
      <c r="W54" s="353"/>
      <c r="X54" s="353"/>
      <c r="Y54" s="353"/>
      <c r="Z54" s="353"/>
      <c r="AA54" s="353"/>
      <c r="AE54" s="361"/>
      <c r="AF54" s="361"/>
      <c r="AG54" s="361"/>
      <c r="AH54" s="361"/>
      <c r="AI54" s="361"/>
      <c r="AJ54" s="361"/>
      <c r="AK54" s="361"/>
      <c r="AL54" s="361"/>
      <c r="AM54" s="361"/>
      <c r="AN54" s="361"/>
    </row>
    <row r="55" spans="2:40" x14ac:dyDescent="0.6">
      <c r="B55" s="387"/>
      <c r="C55" s="79"/>
      <c r="D55" s="79"/>
      <c r="E55" s="79"/>
      <c r="F55" s="79"/>
      <c r="G55" s="79"/>
      <c r="H55" s="79"/>
      <c r="I55" s="79"/>
      <c r="J55" s="79"/>
      <c r="K55" s="79"/>
      <c r="L55" s="79"/>
      <c r="M55" s="79"/>
      <c r="N55" s="79"/>
      <c r="O55" s="79"/>
      <c r="P55" s="353"/>
      <c r="Q55" s="353"/>
      <c r="R55" s="353"/>
      <c r="S55" s="353"/>
      <c r="T55" s="353"/>
      <c r="U55" s="353"/>
      <c r="V55" s="353"/>
      <c r="W55" s="353"/>
      <c r="X55" s="353"/>
      <c r="Y55" s="353"/>
      <c r="Z55" s="353"/>
      <c r="AA55" s="353"/>
      <c r="AE55" s="361"/>
      <c r="AF55" s="361"/>
      <c r="AG55" s="361"/>
      <c r="AH55" s="361"/>
      <c r="AI55" s="361"/>
      <c r="AJ55" s="361"/>
      <c r="AK55" s="361"/>
      <c r="AL55" s="361"/>
      <c r="AM55" s="361"/>
      <c r="AN55" s="361"/>
    </row>
    <row r="56" spans="2:40" x14ac:dyDescent="0.6">
      <c r="B56" s="128" t="s">
        <v>361</v>
      </c>
      <c r="C56" s="128">
        <f>C34</f>
        <v>2019</v>
      </c>
      <c r="D56" s="128">
        <f t="shared" ref="D56:N56" si="25">D34</f>
        <v>2020</v>
      </c>
      <c r="E56" s="128">
        <f t="shared" si="25"/>
        <v>2021</v>
      </c>
      <c r="F56" s="128">
        <f t="shared" si="25"/>
        <v>2022</v>
      </c>
      <c r="G56" s="128">
        <f t="shared" si="25"/>
        <v>2023</v>
      </c>
      <c r="H56" s="128">
        <f t="shared" si="25"/>
        <v>2024</v>
      </c>
      <c r="I56" s="128">
        <f t="shared" si="25"/>
        <v>2025</v>
      </c>
      <c r="J56" s="128">
        <f t="shared" si="25"/>
        <v>2026</v>
      </c>
      <c r="K56" s="128">
        <f t="shared" si="25"/>
        <v>2027</v>
      </c>
      <c r="L56" s="128">
        <f t="shared" si="25"/>
        <v>2028</v>
      </c>
      <c r="M56" s="128">
        <f t="shared" si="25"/>
        <v>2029</v>
      </c>
      <c r="N56" s="128">
        <f t="shared" si="25"/>
        <v>2030</v>
      </c>
      <c r="O56" s="79"/>
      <c r="P56" s="349">
        <v>2019</v>
      </c>
      <c r="Q56" s="349">
        <v>2020</v>
      </c>
      <c r="R56" s="349">
        <v>2021</v>
      </c>
      <c r="S56" s="349">
        <v>2022</v>
      </c>
      <c r="T56" s="349">
        <v>2023</v>
      </c>
      <c r="U56" s="349">
        <v>2024</v>
      </c>
      <c r="V56" s="349">
        <v>2025</v>
      </c>
      <c r="W56" s="349">
        <v>2026</v>
      </c>
      <c r="X56" s="349">
        <v>2027</v>
      </c>
      <c r="Y56" s="349">
        <v>2028</v>
      </c>
      <c r="Z56" s="349">
        <v>2029</v>
      </c>
      <c r="AA56" s="349">
        <v>2030</v>
      </c>
      <c r="AE56" s="361"/>
      <c r="AF56" s="361"/>
      <c r="AG56" s="361"/>
      <c r="AH56" s="361"/>
      <c r="AI56" s="361"/>
      <c r="AJ56" s="361"/>
      <c r="AK56" s="361"/>
      <c r="AL56" s="361"/>
      <c r="AM56" s="361"/>
      <c r="AN56" s="361"/>
    </row>
    <row r="57" spans="2:40" x14ac:dyDescent="0.6">
      <c r="B57" s="431" t="s">
        <v>354</v>
      </c>
      <c r="C57" s="371"/>
      <c r="D57" s="371"/>
      <c r="E57" s="371"/>
      <c r="F57" s="371"/>
      <c r="G57" s="371"/>
      <c r="H57" s="371"/>
      <c r="I57" s="371"/>
      <c r="J57" s="371"/>
      <c r="K57" s="371"/>
      <c r="L57" s="371"/>
      <c r="M57" s="371"/>
      <c r="N57" s="371"/>
      <c r="O57" s="79"/>
      <c r="P57" s="359"/>
      <c r="Q57" s="359"/>
      <c r="R57" s="359"/>
      <c r="S57" s="359"/>
      <c r="T57" s="359"/>
      <c r="U57" s="359"/>
      <c r="V57" s="359"/>
      <c r="W57" s="359"/>
      <c r="X57" s="359"/>
      <c r="Y57" s="359"/>
      <c r="Z57" s="359"/>
      <c r="AA57" s="359"/>
      <c r="AE57" s="361"/>
      <c r="AF57" s="361"/>
      <c r="AG57" s="361"/>
      <c r="AH57" s="361"/>
      <c r="AI57" s="361"/>
      <c r="AJ57" s="361"/>
      <c r="AK57" s="361"/>
      <c r="AL57" s="361"/>
      <c r="AM57" s="361"/>
      <c r="AN57" s="361"/>
    </row>
    <row r="58" spans="2:40" x14ac:dyDescent="0.6">
      <c r="B58" s="390" t="s">
        <v>357</v>
      </c>
      <c r="C58" s="80">
        <f>'Revenue and Expenses breakdown'!C8</f>
        <v>214.6</v>
      </c>
      <c r="D58" s="80">
        <f>'Revenue and Expenses breakdown'!D8</f>
        <v>217.5</v>
      </c>
      <c r="E58" s="80">
        <f>'Revenue and Expenses breakdown'!E8</f>
        <v>357</v>
      </c>
      <c r="F58" s="80">
        <f>'Revenue and Expenses breakdown'!F8</f>
        <v>1014.875</v>
      </c>
      <c r="G58" s="80">
        <f>'Revenue and Expenses breakdown'!G8</f>
        <v>2521</v>
      </c>
      <c r="H58" s="80">
        <f>'Revenue and Expenses breakdown'!H8</f>
        <v>4076.2347103697962</v>
      </c>
      <c r="I58" s="80">
        <f>'Revenue and Expenses breakdown'!I8</f>
        <v>4788.0902478377484</v>
      </c>
      <c r="J58" s="80">
        <f>'Revenue and Expenses breakdown'!J8</f>
        <v>5778.8414763911251</v>
      </c>
      <c r="K58" s="80">
        <f>'Revenue and Expenses breakdown'!K8</f>
        <v>6457.2221083263457</v>
      </c>
      <c r="L58" s="80">
        <f>'Revenue and Expenses breakdown'!L8</f>
        <v>6897.904271192464</v>
      </c>
      <c r="M58" s="80">
        <f>'Revenue and Expenses breakdown'!M8</f>
        <v>7504.192068937049</v>
      </c>
      <c r="N58" s="80">
        <f>'Revenue and Expenses breakdown'!N8</f>
        <v>8454.4652061876968</v>
      </c>
      <c r="O58" s="79"/>
      <c r="P58" s="357">
        <v>214.6</v>
      </c>
      <c r="Q58" s="357">
        <v>217.5</v>
      </c>
      <c r="R58" s="357">
        <v>578.22697123800515</v>
      </c>
      <c r="S58" s="357">
        <v>1208.7735322045125</v>
      </c>
      <c r="T58" s="357">
        <v>1487.4623154758647</v>
      </c>
      <c r="U58" s="357">
        <v>1751.8959613056877</v>
      </c>
      <c r="V58" s="357">
        <v>2036.4979672722927</v>
      </c>
      <c r="W58" s="357">
        <v>2349.2709943597511</v>
      </c>
      <c r="X58" s="357">
        <v>2688.5666970786015</v>
      </c>
      <c r="Y58" s="357">
        <v>3053.828988814334</v>
      </c>
      <c r="Z58" s="357">
        <v>3454.0806836522447</v>
      </c>
      <c r="AA58" s="357">
        <v>3891.5210033785243</v>
      </c>
      <c r="AE58" s="361"/>
      <c r="AF58" s="361">
        <f t="shared" si="2"/>
        <v>-0.16040931327383401</v>
      </c>
      <c r="AG58" s="361">
        <f t="shared" si="3"/>
        <v>0.69483285308877818</v>
      </c>
      <c r="AH58" s="361">
        <f t="shared" si="4"/>
        <v>1.3267561547044036</v>
      </c>
      <c r="AI58" s="361">
        <f t="shared" si="5"/>
        <v>1.3511392227172059</v>
      </c>
      <c r="AJ58" s="361">
        <f t="shared" si="6"/>
        <v>1.4598445604041683</v>
      </c>
      <c r="AK58" s="361">
        <f t="shared" si="7"/>
        <v>1.4017340225714943</v>
      </c>
      <c r="AL58" s="361">
        <f t="shared" si="8"/>
        <v>1.2587722811127722</v>
      </c>
      <c r="AM58" s="361">
        <f t="shared" si="9"/>
        <v>1.1725584189314113</v>
      </c>
      <c r="AN58" s="361">
        <f t="shared" si="10"/>
        <v>1.1725349031516816</v>
      </c>
    </row>
    <row r="59" spans="2:40" x14ac:dyDescent="0.6">
      <c r="B59" s="389" t="s">
        <v>358</v>
      </c>
      <c r="C59" s="78">
        <f>'Revenue and Expenses breakdown'!C16</f>
        <v>8.6</v>
      </c>
      <c r="D59" s="78">
        <f>'Revenue and Expenses breakdown'!D16</f>
        <v>38.9</v>
      </c>
      <c r="E59" s="78">
        <f>'Revenue and Expenses breakdown'!E16</f>
        <v>292.70100000000002</v>
      </c>
      <c r="F59" s="78">
        <f>'Revenue and Expenses breakdown'!F16</f>
        <v>932.19600000000003</v>
      </c>
      <c r="G59" s="78">
        <f>'Revenue and Expenses breakdown'!G16</f>
        <v>1650</v>
      </c>
      <c r="H59" s="78">
        <f>'Revenue and Expenses breakdown'!H16</f>
        <v>3260.3364835642315</v>
      </c>
      <c r="I59" s="78">
        <f>'Revenue and Expenses breakdown'!I16</f>
        <v>4750.3494163168734</v>
      </c>
      <c r="J59" s="78">
        <f>'Revenue and Expenses breakdown'!J16</f>
        <v>5979.6318237532596</v>
      </c>
      <c r="K59" s="78">
        <f>'Revenue and Expenses breakdown'!K16</f>
        <v>7064.8046311276285</v>
      </c>
      <c r="L59" s="78">
        <f>'Revenue and Expenses breakdown'!L16</f>
        <v>8163.3859944760079</v>
      </c>
      <c r="M59" s="78">
        <f>'Revenue and Expenses breakdown'!M16</f>
        <v>9093.0876075237611</v>
      </c>
      <c r="N59" s="78">
        <f>'Revenue and Expenses breakdown'!N16</f>
        <v>10329.088650879428</v>
      </c>
      <c r="O59" s="79"/>
      <c r="P59" s="357">
        <v>8.6</v>
      </c>
      <c r="Q59" s="357">
        <v>38.9</v>
      </c>
      <c r="R59" s="357">
        <v>175.58455030390002</v>
      </c>
      <c r="S59" s="357">
        <v>705.30677847981394</v>
      </c>
      <c r="T59" s="357">
        <v>1298.5505844707043</v>
      </c>
      <c r="U59" s="357">
        <v>1703.5407049765654</v>
      </c>
      <c r="V59" s="357">
        <v>2050.0159524406163</v>
      </c>
      <c r="W59" s="357">
        <v>2427.5343316407552</v>
      </c>
      <c r="X59" s="357">
        <v>2705.9330642485552</v>
      </c>
      <c r="Y59" s="357">
        <v>2882.9512336398388</v>
      </c>
      <c r="Z59" s="357">
        <v>3080.0182784174513</v>
      </c>
      <c r="AA59" s="357">
        <v>3281.0374707110714</v>
      </c>
      <c r="AE59" s="361"/>
      <c r="AF59" s="361">
        <f t="shared" si="2"/>
        <v>0.32168870120490367</v>
      </c>
      <c r="AG59" s="361">
        <f t="shared" si="3"/>
        <v>0.27064745858363937</v>
      </c>
      <c r="AH59" s="361">
        <f t="shared" si="4"/>
        <v>0.91385886702899888</v>
      </c>
      <c r="AI59" s="361">
        <f t="shared" si="5"/>
        <v>1.3172255858113764</v>
      </c>
      <c r="AJ59" s="361">
        <f t="shared" si="6"/>
        <v>1.4632532466437516</v>
      </c>
      <c r="AK59" s="361">
        <f t="shared" si="7"/>
        <v>1.6108571289029809</v>
      </c>
      <c r="AL59" s="361">
        <f t="shared" si="8"/>
        <v>1.8316073817764211</v>
      </c>
      <c r="AM59" s="361">
        <f t="shared" si="9"/>
        <v>1.9522836507957004</v>
      </c>
      <c r="AN59" s="361">
        <f t="shared" si="10"/>
        <v>2.1481166378270262</v>
      </c>
    </row>
    <row r="60" spans="2:40" x14ac:dyDescent="0.6">
      <c r="B60" s="432" t="s">
        <v>359</v>
      </c>
      <c r="C60" s="310">
        <f t="shared" ref="C60:N60" si="26">C61-C58-C59</f>
        <v>114.69999999999999</v>
      </c>
      <c r="D60" s="310">
        <f t="shared" si="26"/>
        <v>126.49999999999997</v>
      </c>
      <c r="E60" s="310">
        <f t="shared" si="26"/>
        <v>395.97817000000009</v>
      </c>
      <c r="F60" s="310">
        <f t="shared" si="26"/>
        <v>1608.1</v>
      </c>
      <c r="G60" s="310">
        <f t="shared" si="26"/>
        <v>2268</v>
      </c>
      <c r="H60" s="310">
        <f t="shared" si="26"/>
        <v>2766.6299137326951</v>
      </c>
      <c r="I60" s="310">
        <f t="shared" si="26"/>
        <v>3263.9078208660385</v>
      </c>
      <c r="J60" s="310">
        <f t="shared" si="26"/>
        <v>3918.2492708742702</v>
      </c>
      <c r="K60" s="310">
        <f t="shared" si="26"/>
        <v>4627.8487481686334</v>
      </c>
      <c r="L60" s="310">
        <f t="shared" si="26"/>
        <v>5391.3383228064486</v>
      </c>
      <c r="M60" s="310">
        <f t="shared" si="26"/>
        <v>6060.7259313175273</v>
      </c>
      <c r="N60" s="310">
        <f t="shared" si="26"/>
        <v>6641.1891858485542</v>
      </c>
      <c r="O60" s="79"/>
      <c r="P60" s="358">
        <v>114.69999999999999</v>
      </c>
      <c r="Q60" s="358">
        <v>126.49999999999997</v>
      </c>
      <c r="R60" s="358">
        <v>260.00000000000006</v>
      </c>
      <c r="S60" s="358">
        <v>285.99999999999989</v>
      </c>
      <c r="T60" s="358">
        <v>314.59999999999968</v>
      </c>
      <c r="U60" s="358">
        <v>346.0600000000004</v>
      </c>
      <c r="V60" s="358">
        <v>380.66600000000017</v>
      </c>
      <c r="W60" s="358">
        <v>418.73260000000028</v>
      </c>
      <c r="X60" s="358">
        <v>460.60586000000103</v>
      </c>
      <c r="Y60" s="358">
        <v>506.66644600000109</v>
      </c>
      <c r="Z60" s="358">
        <v>557.33309060000056</v>
      </c>
      <c r="AA60" s="358">
        <v>613.06639966000057</v>
      </c>
      <c r="AE60" s="361"/>
      <c r="AF60" s="361">
        <f t="shared" si="2"/>
        <v>4.6227272727272748</v>
      </c>
      <c r="AG60" s="361">
        <f t="shared" si="3"/>
        <v>6.2091544818817619</v>
      </c>
      <c r="AH60" s="361">
        <f t="shared" si="4"/>
        <v>6.9946538569401024</v>
      </c>
      <c r="AI60" s="361">
        <f t="shared" si="5"/>
        <v>7.5742036873953467</v>
      </c>
      <c r="AJ60" s="361">
        <f t="shared" si="6"/>
        <v>8.357402005180079</v>
      </c>
      <c r="AK60" s="361">
        <f t="shared" si="7"/>
        <v>9.0473075791276791</v>
      </c>
      <c r="AL60" s="361">
        <f t="shared" si="8"/>
        <v>9.6408039556786385</v>
      </c>
      <c r="AM60" s="361">
        <f t="shared" si="9"/>
        <v>9.8745129861082059</v>
      </c>
      <c r="AN60" s="361">
        <f t="shared" si="10"/>
        <v>9.8327404495364288</v>
      </c>
    </row>
    <row r="61" spans="2:40" x14ac:dyDescent="0.6">
      <c r="B61" s="77" t="s">
        <v>353</v>
      </c>
      <c r="C61" s="78">
        <f>'Revenue and Expenses breakdown'!C7</f>
        <v>337.9</v>
      </c>
      <c r="D61" s="78">
        <f>'Revenue and Expenses breakdown'!D7</f>
        <v>382.9</v>
      </c>
      <c r="E61" s="78">
        <f>'Revenue and Expenses breakdown'!E7</f>
        <v>1045.6791700000001</v>
      </c>
      <c r="F61" s="78">
        <f>'Revenue and Expenses breakdown'!F7</f>
        <v>3555.1709999999998</v>
      </c>
      <c r="G61" s="78">
        <f>'Revenue and Expenses breakdown'!G7</f>
        <v>6439</v>
      </c>
      <c r="H61" s="78">
        <f>'Revenue and Expenses breakdown'!H7</f>
        <v>10103.201107666722</v>
      </c>
      <c r="I61" s="78">
        <f>'Revenue and Expenses breakdown'!I7</f>
        <v>12802.34748502066</v>
      </c>
      <c r="J61" s="78">
        <f>'Revenue and Expenses breakdown'!J7</f>
        <v>15676.722571018654</v>
      </c>
      <c r="K61" s="78">
        <f>'Revenue and Expenses breakdown'!K7</f>
        <v>18149.875487622608</v>
      </c>
      <c r="L61" s="78">
        <f>'Revenue and Expenses breakdown'!L7</f>
        <v>20452.62858847492</v>
      </c>
      <c r="M61" s="78">
        <f>'Revenue and Expenses breakdown'!M7</f>
        <v>22658.005607778337</v>
      </c>
      <c r="N61" s="78">
        <f>'Revenue and Expenses breakdown'!N7</f>
        <v>25424.743042915678</v>
      </c>
      <c r="O61" s="79"/>
      <c r="P61" s="357">
        <v>337.9</v>
      </c>
      <c r="Q61" s="357">
        <v>382.9</v>
      </c>
      <c r="R61" s="357">
        <v>1013.8115215419052</v>
      </c>
      <c r="S61" s="357">
        <v>2200.0803106843264</v>
      </c>
      <c r="T61" s="357">
        <v>3100.6128999465686</v>
      </c>
      <c r="U61" s="357">
        <v>3801.4966662822535</v>
      </c>
      <c r="V61" s="357">
        <v>4467.1799197129094</v>
      </c>
      <c r="W61" s="357">
        <v>5195.5379260005066</v>
      </c>
      <c r="X61" s="357">
        <v>5855.1056213271577</v>
      </c>
      <c r="Y61" s="357">
        <v>6443.446668454174</v>
      </c>
      <c r="Z61" s="357">
        <v>7091.4320526696965</v>
      </c>
      <c r="AA61" s="357">
        <v>7785.6248737495962</v>
      </c>
      <c r="AE61" s="361"/>
      <c r="AF61" s="361">
        <f t="shared" si="2"/>
        <v>0.6159278289682879</v>
      </c>
      <c r="AG61" s="361">
        <f t="shared" si="3"/>
        <v>1.0766861932719691</v>
      </c>
      <c r="AH61" s="361">
        <f t="shared" si="4"/>
        <v>1.6576903768660518</v>
      </c>
      <c r="AI61" s="361">
        <f t="shared" si="5"/>
        <v>1.8658678887156674</v>
      </c>
      <c r="AJ61" s="361">
        <f t="shared" si="6"/>
        <v>2.0173434963425434</v>
      </c>
      <c r="AK61" s="361">
        <f t="shared" si="7"/>
        <v>2.0998374173664582</v>
      </c>
      <c r="AL61" s="361">
        <f t="shared" si="8"/>
        <v>2.1741751954907764</v>
      </c>
      <c r="AM61" s="361">
        <f t="shared" si="9"/>
        <v>2.1951241215444384</v>
      </c>
      <c r="AN61" s="361">
        <f t="shared" si="10"/>
        <v>2.2656008291176497</v>
      </c>
    </row>
    <row r="62" spans="2:40" x14ac:dyDescent="0.6">
      <c r="B62" s="79"/>
      <c r="C62" s="80"/>
      <c r="D62" s="80"/>
      <c r="E62" s="80"/>
      <c r="F62" s="80"/>
      <c r="G62" s="80"/>
      <c r="H62" s="80"/>
      <c r="I62" s="80"/>
      <c r="J62" s="80"/>
      <c r="K62" s="80"/>
      <c r="L62" s="80"/>
      <c r="M62" s="80"/>
      <c r="N62" s="80"/>
      <c r="O62" s="79"/>
      <c r="P62" s="357"/>
      <c r="Q62" s="357"/>
      <c r="R62" s="357"/>
      <c r="S62" s="357"/>
      <c r="T62" s="357"/>
      <c r="U62" s="357"/>
      <c r="V62" s="357"/>
      <c r="W62" s="357"/>
      <c r="X62" s="357"/>
      <c r="Y62" s="357"/>
      <c r="Z62" s="357"/>
      <c r="AA62" s="357"/>
      <c r="AE62" s="361"/>
      <c r="AF62" s="361"/>
      <c r="AG62" s="361"/>
      <c r="AH62" s="361"/>
      <c r="AI62" s="361"/>
      <c r="AJ62" s="361"/>
      <c r="AK62" s="361"/>
      <c r="AL62" s="361"/>
      <c r="AM62" s="361"/>
      <c r="AN62" s="361"/>
    </row>
    <row r="63" spans="2:40" x14ac:dyDescent="0.6">
      <c r="B63" s="77" t="s">
        <v>355</v>
      </c>
      <c r="C63" s="78">
        <f>'Revenue and Expenses breakdown'!C33</f>
        <v>203.9</v>
      </c>
      <c r="D63" s="78">
        <f>'Revenue and Expenses breakdown'!D33</f>
        <v>254.3</v>
      </c>
      <c r="E63" s="78">
        <f>'Revenue and Expenses breakdown'!E33</f>
        <v>471.505</v>
      </c>
      <c r="F63" s="78">
        <f>'Revenue and Expenses breakdown'!F33</f>
        <v>917</v>
      </c>
      <c r="G63" s="78">
        <f>'Revenue and Expenses breakdown'!G33</f>
        <v>1187</v>
      </c>
      <c r="H63" s="78">
        <f>'Revenue and Expenses breakdown'!H33</f>
        <v>1341.8713702180751</v>
      </c>
      <c r="I63" s="78">
        <f>'Revenue and Expenses breakdown'!I33</f>
        <v>1827.3605858548383</v>
      </c>
      <c r="J63" s="78">
        <f>'Revenue and Expenses breakdown'!J33</f>
        <v>2313.1493213260983</v>
      </c>
      <c r="K63" s="78">
        <f>'Revenue and Expenses breakdown'!K33</f>
        <v>2834.7552375837722</v>
      </c>
      <c r="L63" s="78">
        <f>'Revenue and Expenses breakdown'!L33</f>
        <v>3171.564898361743</v>
      </c>
      <c r="M63" s="78">
        <f>'Revenue and Expenses breakdown'!M33</f>
        <v>3475.2333540153622</v>
      </c>
      <c r="N63" s="78">
        <f>'Revenue and Expenses breakdown'!N33</f>
        <v>3779.7481778954666</v>
      </c>
      <c r="O63" s="79"/>
      <c r="P63" s="357">
        <v>203.9</v>
      </c>
      <c r="Q63" s="357">
        <v>254.3</v>
      </c>
      <c r="R63" s="357">
        <v>510.27797142393592</v>
      </c>
      <c r="S63" s="357">
        <v>900.83122419006975</v>
      </c>
      <c r="T63" s="357">
        <v>1242.4659558357384</v>
      </c>
      <c r="U63" s="357">
        <v>1430.8535075226871</v>
      </c>
      <c r="V63" s="357">
        <v>1631.625049428545</v>
      </c>
      <c r="W63" s="357">
        <v>1861.1095796661866</v>
      </c>
      <c r="X63" s="357">
        <v>2117.7902905646738</v>
      </c>
      <c r="Y63" s="357">
        <v>2403.8858835003862</v>
      </c>
      <c r="Z63" s="357">
        <v>2721.768380277309</v>
      </c>
      <c r="AA63" s="357">
        <v>3074.0216258050086</v>
      </c>
      <c r="AE63" s="361"/>
      <c r="AF63" s="361">
        <f t="shared" si="2"/>
        <v>1.7948729324372081E-2</v>
      </c>
      <c r="AG63" s="361">
        <f t="shared" si="3"/>
        <v>-4.4641831492621908E-2</v>
      </c>
      <c r="AH63" s="361">
        <f t="shared" si="4"/>
        <v>-6.2188153320231643E-2</v>
      </c>
      <c r="AI63" s="361">
        <f t="shared" si="5"/>
        <v>0.11996355197834641</v>
      </c>
      <c r="AJ63" s="361">
        <f t="shared" si="6"/>
        <v>0.24288722523312711</v>
      </c>
      <c r="AK63" s="361">
        <f t="shared" si="7"/>
        <v>0.33854388237275912</v>
      </c>
      <c r="AL63" s="361">
        <f t="shared" si="8"/>
        <v>0.31934919212700374</v>
      </c>
      <c r="AM63" s="361">
        <f t="shared" si="9"/>
        <v>0.27682920383595833</v>
      </c>
      <c r="AN63" s="361">
        <f t="shared" si="10"/>
        <v>0.22957761460303527</v>
      </c>
    </row>
    <row r="64" spans="2:40" x14ac:dyDescent="0.6">
      <c r="B64" s="81" t="s">
        <v>364</v>
      </c>
      <c r="C64" s="310">
        <f>'Revenue and Expenses breakdown'!C38</f>
        <v>70.300000000000011</v>
      </c>
      <c r="D64" s="310">
        <f>'Revenue and Expenses breakdown'!D38</f>
        <v>99.9</v>
      </c>
      <c r="E64" s="310">
        <f>'Revenue and Expenses breakdown'!E38</f>
        <v>179.77199999999999</v>
      </c>
      <c r="F64" s="310">
        <f>'Revenue and Expenses breakdown'!F38</f>
        <v>318</v>
      </c>
      <c r="G64" s="310">
        <f>'Revenue and Expenses breakdown'!G38</f>
        <v>402</v>
      </c>
      <c r="H64" s="310">
        <f>'Revenue and Expenses breakdown'!H38</f>
        <v>512.58833333333337</v>
      </c>
      <c r="I64" s="310">
        <f>'Revenue and Expenses breakdown'!I38</f>
        <v>614.15759712230215</v>
      </c>
      <c r="J64" s="310">
        <f>'Revenue and Expenses breakdown'!J38</f>
        <v>721.01128776978408</v>
      </c>
      <c r="K64" s="310">
        <f>'Revenue and Expenses breakdown'!K38</f>
        <v>850.33700647482033</v>
      </c>
      <c r="L64" s="310">
        <f>'Revenue and Expenses breakdown'!L38</f>
        <v>971.13268266187072</v>
      </c>
      <c r="M64" s="310">
        <f>'Revenue and Expenses breakdown'!M38</f>
        <v>1094.4890804244608</v>
      </c>
      <c r="N64" s="310">
        <f>'Revenue and Expenses breakdown'!N38</f>
        <v>1224.4010222798565</v>
      </c>
      <c r="O64" s="79"/>
      <c r="P64" s="358">
        <v>70.300000000000011</v>
      </c>
      <c r="Q64" s="358">
        <v>99.9</v>
      </c>
      <c r="R64" s="358">
        <v>129.87</v>
      </c>
      <c r="S64" s="358">
        <v>168.83100000000002</v>
      </c>
      <c r="T64" s="358">
        <v>168.83100000000002</v>
      </c>
      <c r="U64" s="358">
        <v>181.83273186952391</v>
      </c>
      <c r="V64" s="358">
        <v>193.16491311988455</v>
      </c>
      <c r="W64" s="358">
        <v>204.94286484481415</v>
      </c>
      <c r="X64" s="358">
        <v>214.69458066746384</v>
      </c>
      <c r="Y64" s="358">
        <v>227.10425920181601</v>
      </c>
      <c r="Z64" s="358">
        <v>238.88011898388334</v>
      </c>
      <c r="AA64" s="358">
        <v>250.72885078754487</v>
      </c>
      <c r="AE64" s="361"/>
      <c r="AF64" s="361">
        <f t="shared" si="2"/>
        <v>0.88354034507880641</v>
      </c>
      <c r="AG64" s="361">
        <f t="shared" si="3"/>
        <v>1.381079304156227</v>
      </c>
      <c r="AH64" s="361">
        <f t="shared" si="4"/>
        <v>1.8190102412427418</v>
      </c>
      <c r="AI64" s="361">
        <f t="shared" si="5"/>
        <v>2.1794469668574625</v>
      </c>
      <c r="AJ64" s="361">
        <f t="shared" si="6"/>
        <v>2.5181087583397681</v>
      </c>
      <c r="AK64" s="361">
        <f t="shared" si="7"/>
        <v>2.9606822111261875</v>
      </c>
      <c r="AL64" s="361">
        <f t="shared" si="8"/>
        <v>3.2761535432009419</v>
      </c>
      <c r="AM64" s="361">
        <f t="shared" si="9"/>
        <v>3.5817503988195156</v>
      </c>
      <c r="AN64" s="361">
        <f t="shared" si="10"/>
        <v>3.8833671052772178</v>
      </c>
    </row>
    <row r="65" spans="2:40" x14ac:dyDescent="0.6">
      <c r="B65" s="77" t="s">
        <v>365</v>
      </c>
      <c r="C65" s="78">
        <f>Master!D6</f>
        <v>274.2</v>
      </c>
      <c r="D65" s="78">
        <f>Master!E6</f>
        <v>354.20000000000005</v>
      </c>
      <c r="E65" s="78">
        <f>Master!F6</f>
        <v>651.27700000000004</v>
      </c>
      <c r="F65" s="78">
        <f>Master!G6</f>
        <v>1235</v>
      </c>
      <c r="G65" s="78">
        <f>Master!H6</f>
        <v>1589</v>
      </c>
      <c r="H65" s="78">
        <f>Master!I6</f>
        <v>1854.4597035514084</v>
      </c>
      <c r="I65" s="78">
        <f>Master!J6</f>
        <v>2441.5181829771404</v>
      </c>
      <c r="J65" s="78">
        <f>Master!K6</f>
        <v>3034.1606090958821</v>
      </c>
      <c r="K65" s="78">
        <f>Master!L6</f>
        <v>3685.0922440585928</v>
      </c>
      <c r="L65" s="78">
        <f>Master!M6</f>
        <v>4142.6975810236136</v>
      </c>
      <c r="M65" s="78">
        <f>Master!N6</f>
        <v>4569.7224344398228</v>
      </c>
      <c r="N65" s="78">
        <f>Master!O6</f>
        <v>5004.1492001753231</v>
      </c>
      <c r="O65" s="143"/>
      <c r="P65" s="357">
        <v>274.2</v>
      </c>
      <c r="Q65" s="357">
        <v>354.2</v>
      </c>
      <c r="R65" s="357">
        <v>640.14797142393593</v>
      </c>
      <c r="S65" s="357">
        <v>1069.6622241900698</v>
      </c>
      <c r="T65" s="357">
        <v>1411.2969558357386</v>
      </c>
      <c r="U65" s="357">
        <v>1612.6862393922111</v>
      </c>
      <c r="V65" s="357">
        <v>1824.7899625484297</v>
      </c>
      <c r="W65" s="357">
        <v>2066.0524445110009</v>
      </c>
      <c r="X65" s="357">
        <v>2332.4848712321377</v>
      </c>
      <c r="Y65" s="357">
        <v>2630.9901427022023</v>
      </c>
      <c r="Z65" s="357">
        <v>2960.6484992611922</v>
      </c>
      <c r="AA65" s="357">
        <v>3324.7504765925537</v>
      </c>
      <c r="AE65" s="361"/>
      <c r="AF65" s="361">
        <f t="shared" si="2"/>
        <v>0.15457008022800967</v>
      </c>
      <c r="AG65" s="361">
        <f t="shared" si="3"/>
        <v>0.12591470804883143</v>
      </c>
      <c r="AH65" s="361">
        <f t="shared" si="4"/>
        <v>0.14991971671458981</v>
      </c>
      <c r="AI65" s="361">
        <f t="shared" si="5"/>
        <v>0.33797216835159061</v>
      </c>
      <c r="AJ65" s="361">
        <f t="shared" si="6"/>
        <v>0.46857869806592234</v>
      </c>
      <c r="AK65" s="361">
        <f t="shared" si="7"/>
        <v>0.57989974104824049</v>
      </c>
      <c r="AL65" s="361">
        <f t="shared" si="8"/>
        <v>0.57457738582356943</v>
      </c>
      <c r="AM65" s="361">
        <f t="shared" si="9"/>
        <v>0.54348698792854444</v>
      </c>
      <c r="AN65" s="361">
        <f t="shared" si="10"/>
        <v>0.50512022944468882</v>
      </c>
    </row>
    <row r="66" spans="2:40" x14ac:dyDescent="0.6">
      <c r="B66" s="79"/>
      <c r="C66" s="80"/>
      <c r="D66" s="80"/>
      <c r="E66" s="80"/>
      <c r="F66" s="80"/>
      <c r="G66" s="80"/>
      <c r="H66" s="80"/>
      <c r="I66" s="80"/>
      <c r="J66" s="80"/>
      <c r="K66" s="80"/>
      <c r="L66" s="80"/>
      <c r="M66" s="80"/>
      <c r="N66" s="80"/>
      <c r="O66" s="79"/>
      <c r="P66" s="357"/>
      <c r="Q66" s="357"/>
      <c r="R66" s="357"/>
      <c r="S66" s="357"/>
      <c r="T66" s="357"/>
      <c r="U66" s="357"/>
      <c r="V66" s="357"/>
      <c r="W66" s="357"/>
      <c r="X66" s="357"/>
      <c r="Y66" s="357"/>
      <c r="Z66" s="357"/>
      <c r="AA66" s="357"/>
      <c r="AE66" s="361"/>
      <c r="AF66" s="361"/>
      <c r="AG66" s="361"/>
      <c r="AH66" s="361"/>
      <c r="AI66" s="361"/>
      <c r="AJ66" s="361"/>
      <c r="AK66" s="361"/>
      <c r="AL66" s="361"/>
      <c r="AM66" s="361"/>
      <c r="AN66" s="361"/>
    </row>
    <row r="67" spans="2:40" x14ac:dyDescent="0.6">
      <c r="B67" s="431" t="s">
        <v>362</v>
      </c>
      <c r="C67" s="78"/>
      <c r="D67" s="78"/>
      <c r="E67" s="78"/>
      <c r="F67" s="78"/>
      <c r="G67" s="78"/>
      <c r="H67" s="78"/>
      <c r="I67" s="78"/>
      <c r="J67" s="78"/>
      <c r="K67" s="78"/>
      <c r="L67" s="78"/>
      <c r="M67" s="78"/>
      <c r="N67" s="78"/>
      <c r="O67" s="79"/>
      <c r="P67" s="357"/>
      <c r="Q67" s="357"/>
      <c r="R67" s="357"/>
      <c r="S67" s="357"/>
      <c r="T67" s="357"/>
      <c r="U67" s="357"/>
      <c r="V67" s="357"/>
      <c r="W67" s="357"/>
      <c r="X67" s="357"/>
      <c r="Y67" s="357"/>
      <c r="Z67" s="357"/>
      <c r="AA67" s="357"/>
      <c r="AE67" s="361"/>
      <c r="AF67" s="361"/>
      <c r="AG67" s="361"/>
      <c r="AH67" s="361"/>
      <c r="AI67" s="361"/>
      <c r="AJ67" s="361"/>
      <c r="AK67" s="361"/>
      <c r="AL67" s="361"/>
      <c r="AM67" s="361"/>
      <c r="AN67" s="361"/>
    </row>
    <row r="68" spans="2:40" x14ac:dyDescent="0.6">
      <c r="B68" s="79" t="str">
        <f>'Revenue and Expenses breakdown'!A48</f>
        <v>Marketplace</v>
      </c>
      <c r="C68" s="80">
        <f>'Revenue and Expenses breakdown'!C48</f>
        <v>0</v>
      </c>
      <c r="D68" s="80">
        <f>'Revenue and Expenses breakdown'!D48</f>
        <v>0</v>
      </c>
      <c r="E68" s="80">
        <f>'Revenue and Expenses breakdown'!E48</f>
        <v>0</v>
      </c>
      <c r="F68" s="80">
        <f>'Revenue and Expenses breakdown'!F48</f>
        <v>23.948651162790693</v>
      </c>
      <c r="G68" s="80">
        <f>'Revenue and Expenses breakdown'!G48</f>
        <v>47.343967935871746</v>
      </c>
      <c r="H68" s="80">
        <f>'Revenue and Expenses breakdown'!H48</f>
        <v>71.435000000000002</v>
      </c>
      <c r="I68" s="80">
        <f>'Revenue and Expenses breakdown'!I48</f>
        <v>99.697841726618719</v>
      </c>
      <c r="J68" s="80">
        <f>'Revenue and Expenses breakdown'!J48</f>
        <v>134.71834532374098</v>
      </c>
      <c r="K68" s="80">
        <f>'Revenue and Expenses breakdown'!K48</f>
        <v>175.92086330935248</v>
      </c>
      <c r="L68" s="80">
        <f>'Revenue and Expenses breakdown'!L48</f>
        <v>201.21942446043167</v>
      </c>
      <c r="M68" s="80">
        <f>'Revenue and Expenses breakdown'!M48</f>
        <v>224.06294964028777</v>
      </c>
      <c r="N68" s="80">
        <f>'Revenue and Expenses breakdown'!N48</f>
        <v>246.02967625899282</v>
      </c>
      <c r="O68" s="79"/>
      <c r="P68" s="357">
        <v>0</v>
      </c>
      <c r="Q68" s="357">
        <v>0</v>
      </c>
      <c r="R68" s="357">
        <v>0</v>
      </c>
      <c r="S68" s="357">
        <v>37.300200878835724</v>
      </c>
      <c r="T68" s="357">
        <v>90.626318129422117</v>
      </c>
      <c r="U68" s="357">
        <v>115.29647472537755</v>
      </c>
      <c r="V68" s="357">
        <v>143.73620913693969</v>
      </c>
      <c r="W68" s="357">
        <v>177.91703649032388</v>
      </c>
      <c r="X68" s="357">
        <v>216.30213601713436</v>
      </c>
      <c r="Y68" s="357">
        <v>264.26946746379167</v>
      </c>
      <c r="Z68" s="357">
        <v>319.66828962805829</v>
      </c>
      <c r="AA68" s="357">
        <v>384.32772994355923</v>
      </c>
      <c r="AE68" s="361"/>
      <c r="AF68" s="361">
        <f t="shared" ref="AF68:AF88" si="27">F68/S68-1</f>
        <v>-0.35794846680358638</v>
      </c>
      <c r="AG68" s="361">
        <f t="shared" ref="AG68:AG88" si="28">G68/T68-1</f>
        <v>-0.47759140045543369</v>
      </c>
      <c r="AH68" s="361">
        <f t="shared" ref="AH68:AH88" si="29">H68/U68-1</f>
        <v>-0.38042338093901262</v>
      </c>
      <c r="AI68" s="361">
        <f t="shared" ref="AI68:AI88" si="30">I68/V68-1</f>
        <v>-0.30638325356392937</v>
      </c>
      <c r="AJ68" s="361">
        <f t="shared" ref="AJ68:AJ88" si="31">J68/W68-1</f>
        <v>-0.24280244331144918</v>
      </c>
      <c r="AK68" s="361">
        <f t="shared" ref="AK68:AK88" si="32">K68/X68-1</f>
        <v>-0.1866891998911332</v>
      </c>
      <c r="AL68" s="361">
        <f t="shared" ref="AL68:AL88" si="33">L68/Y68-1</f>
        <v>-0.23858239700732231</v>
      </c>
      <c r="AM68" s="361">
        <f t="shared" ref="AM68:AM88" si="34">M68/Z68-1</f>
        <v>-0.29907670885657633</v>
      </c>
      <c r="AN68" s="361">
        <f t="shared" ref="AN68:AN88" si="35">N68/AA68-1</f>
        <v>-0.35984406773062216</v>
      </c>
    </row>
    <row r="69" spans="2:40" x14ac:dyDescent="0.6">
      <c r="B69" s="77" t="str">
        <f>'Revenue and Expenses breakdown'!A54</f>
        <v>Insurance</v>
      </c>
      <c r="C69" s="78">
        <f>'Revenue and Expenses breakdown'!C54</f>
        <v>0</v>
      </c>
      <c r="D69" s="78">
        <f>'Revenue and Expenses breakdown'!D54</f>
        <v>0</v>
      </c>
      <c r="E69" s="78">
        <f>'Revenue and Expenses breakdown'!E54</f>
        <v>0</v>
      </c>
      <c r="F69" s="78">
        <f>'Revenue and Expenses breakdown'!F54</f>
        <v>25.704000000000004</v>
      </c>
      <c r="G69" s="78">
        <f>'Revenue and Expenses breakdown'!G54</f>
        <v>43.68</v>
      </c>
      <c r="H69" s="78">
        <f>'Revenue and Expenses breakdown'!H54</f>
        <v>65.94</v>
      </c>
      <c r="I69" s="78">
        <f>'Revenue and Expenses breakdown'!I54</f>
        <v>89.543999999999983</v>
      </c>
      <c r="J69" s="78">
        <f>'Revenue and Expenses breakdown'!J54</f>
        <v>113.49</v>
      </c>
      <c r="K69" s="78">
        <f>'Revenue and Expenses breakdown'!K54</f>
        <v>149.226</v>
      </c>
      <c r="L69" s="78">
        <f>'Revenue and Expenses breakdown'!L54</f>
        <v>188.67000000000002</v>
      </c>
      <c r="M69" s="78">
        <f>'Revenue and Expenses breakdown'!M54</f>
        <v>229.99200000000005</v>
      </c>
      <c r="N69" s="78">
        <f>'Revenue and Expenses breakdown'!N54</f>
        <v>274.28650000000005</v>
      </c>
      <c r="O69" s="79"/>
      <c r="P69" s="357">
        <v>0</v>
      </c>
      <c r="Q69" s="357">
        <v>0</v>
      </c>
      <c r="R69" s="357">
        <v>24.530661302737101</v>
      </c>
      <c r="S69" s="357">
        <v>91.440171528445319</v>
      </c>
      <c r="T69" s="357">
        <v>139.08301188824277</v>
      </c>
      <c r="U69" s="357">
        <v>169.65287320842256</v>
      </c>
      <c r="V69" s="357">
        <v>202.52819291040362</v>
      </c>
      <c r="W69" s="357">
        <v>239.81814408900073</v>
      </c>
      <c r="X69" s="357">
        <v>278.69705523998749</v>
      </c>
      <c r="Y69" s="357">
        <v>325.27892944806172</v>
      </c>
      <c r="Z69" s="357">
        <v>375.6890268420687</v>
      </c>
      <c r="AA69" s="357">
        <v>431.09588380473144</v>
      </c>
      <c r="AE69" s="361"/>
      <c r="AF69" s="361">
        <f t="shared" si="27"/>
        <v>-0.71889816510237003</v>
      </c>
      <c r="AG69" s="361">
        <f t="shared" si="28"/>
        <v>-0.68594295301069441</v>
      </c>
      <c r="AH69" s="361">
        <f t="shared" si="29"/>
        <v>-0.61132400086739969</v>
      </c>
      <c r="AI69" s="361">
        <f t="shared" si="30"/>
        <v>-0.55786896276898434</v>
      </c>
      <c r="AJ69" s="361">
        <f t="shared" si="31"/>
        <v>-0.52676641531392276</v>
      </c>
      <c r="AK69" s="361">
        <f t="shared" si="32"/>
        <v>-0.46455838985632369</v>
      </c>
      <c r="AL69" s="361">
        <f t="shared" si="33"/>
        <v>-0.41997472655195289</v>
      </c>
      <c r="AM69" s="361">
        <f t="shared" si="34"/>
        <v>-0.38781283570285496</v>
      </c>
      <c r="AN69" s="361">
        <f t="shared" si="35"/>
        <v>-0.36374595466042436</v>
      </c>
    </row>
    <row r="70" spans="2:40" x14ac:dyDescent="0.6">
      <c r="B70" s="81" t="str">
        <f>'Revenue and Expenses breakdown'!A59</f>
        <v>Investments</v>
      </c>
      <c r="C70" s="310">
        <f>'Revenue and Expenses breakdown'!C59</f>
        <v>0</v>
      </c>
      <c r="D70" s="310">
        <f>'Revenue and Expenses breakdown'!D59</f>
        <v>0</v>
      </c>
      <c r="E70" s="310">
        <f>'Revenue and Expenses breakdown'!E59</f>
        <v>0</v>
      </c>
      <c r="F70" s="310">
        <f>'Revenue and Expenses breakdown'!F59</f>
        <v>35.581395348837212</v>
      </c>
      <c r="G70" s="310">
        <f>'Revenue and Expenses breakdown'!G59</f>
        <v>46.893787575150292</v>
      </c>
      <c r="H70" s="310">
        <f>'Revenue and Expenses breakdown'!H59</f>
        <v>58.613333333333337</v>
      </c>
      <c r="I70" s="310">
        <f>'Revenue and Expenses breakdown'!I59</f>
        <v>71.705755395683454</v>
      </c>
      <c r="J70" s="310">
        <f>'Revenue and Expenses breakdown'!J59</f>
        <v>86.671942446043175</v>
      </c>
      <c r="K70" s="310">
        <f>'Revenue and Expenses breakdown'!K59</f>
        <v>102.84604316546765</v>
      </c>
      <c r="L70" s="310">
        <f>'Revenue and Expenses breakdown'!L59</f>
        <v>119.06474820143889</v>
      </c>
      <c r="M70" s="310">
        <f>'Revenue and Expenses breakdown'!M59</f>
        <v>134.4377697841727</v>
      </c>
      <c r="N70" s="310">
        <f>'Revenue and Expenses breakdown'!N59</f>
        <v>149.88884892086335</v>
      </c>
      <c r="O70" s="79"/>
      <c r="P70" s="358">
        <v>0</v>
      </c>
      <c r="Q70" s="358">
        <v>0</v>
      </c>
      <c r="R70" s="358">
        <v>35.680961894890331</v>
      </c>
      <c r="S70" s="358">
        <v>66.501942929778423</v>
      </c>
      <c r="T70" s="358">
        <v>95.044847483546079</v>
      </c>
      <c r="U70" s="358">
        <v>114.6479969923893</v>
      </c>
      <c r="V70" s="358">
        <v>135.8754166501501</v>
      </c>
      <c r="W70" s="358">
        <v>160.27224906960524</v>
      </c>
      <c r="X70" s="358">
        <v>186.08741608899939</v>
      </c>
      <c r="Y70" s="358">
        <v>217.5639306512372</v>
      </c>
      <c r="Z70" s="358">
        <v>252.30172630892261</v>
      </c>
      <c r="AA70" s="358">
        <v>291.29780399498037</v>
      </c>
      <c r="AE70" s="361"/>
      <c r="AF70" s="361">
        <f t="shared" si="27"/>
        <v>-0.46495705566965506</v>
      </c>
      <c r="AG70" s="361">
        <f t="shared" si="28"/>
        <v>-0.50661410043013189</v>
      </c>
      <c r="AH70" s="361">
        <f t="shared" si="29"/>
        <v>-0.48875396979482966</v>
      </c>
      <c r="AI70" s="361">
        <f t="shared" si="30"/>
        <v>-0.47226836786590831</v>
      </c>
      <c r="AJ70" s="361">
        <f t="shared" si="31"/>
        <v>-0.45922052664025392</v>
      </c>
      <c r="AK70" s="361">
        <f t="shared" si="32"/>
        <v>-0.44732403014140498</v>
      </c>
      <c r="AL70" s="361">
        <f t="shared" si="33"/>
        <v>-0.45273672963601697</v>
      </c>
      <c r="AM70" s="361">
        <f t="shared" si="34"/>
        <v>-0.46715477634281122</v>
      </c>
      <c r="AN70" s="361">
        <f t="shared" si="35"/>
        <v>-0.48544463135243465</v>
      </c>
    </row>
    <row r="71" spans="2:40" x14ac:dyDescent="0.6">
      <c r="B71" s="77" t="s">
        <v>363</v>
      </c>
      <c r="C71" s="78">
        <f>SUM(C68:C70)</f>
        <v>0</v>
      </c>
      <c r="D71" s="78">
        <f t="shared" ref="D71:N71" si="36">SUM(D68:D70)</f>
        <v>0</v>
      </c>
      <c r="E71" s="78">
        <f t="shared" si="36"/>
        <v>0</v>
      </c>
      <c r="F71" s="78">
        <f t="shared" si="36"/>
        <v>85.234046511627909</v>
      </c>
      <c r="G71" s="78">
        <f t="shared" si="36"/>
        <v>137.91775551102205</v>
      </c>
      <c r="H71" s="78">
        <f t="shared" si="36"/>
        <v>195.98833333333334</v>
      </c>
      <c r="I71" s="78">
        <f t="shared" si="36"/>
        <v>260.94759712230217</v>
      </c>
      <c r="J71" s="78">
        <f t="shared" si="36"/>
        <v>334.8802877697841</v>
      </c>
      <c r="K71" s="78">
        <f t="shared" si="36"/>
        <v>427.99290647482019</v>
      </c>
      <c r="L71" s="78">
        <f t="shared" si="36"/>
        <v>508.95417266187053</v>
      </c>
      <c r="M71" s="78">
        <f t="shared" si="36"/>
        <v>588.49271942446057</v>
      </c>
      <c r="N71" s="78">
        <f t="shared" si="36"/>
        <v>670.20502517985619</v>
      </c>
      <c r="O71" s="79"/>
      <c r="P71" s="357">
        <v>0</v>
      </c>
      <c r="Q71" s="357">
        <v>0</v>
      </c>
      <c r="R71" s="357">
        <v>60.211623197627432</v>
      </c>
      <c r="S71" s="357">
        <v>195.24231533705944</v>
      </c>
      <c r="T71" s="357">
        <v>324.75417750121096</v>
      </c>
      <c r="U71" s="357">
        <v>399.59734492618941</v>
      </c>
      <c r="V71" s="357">
        <v>482.13981869749341</v>
      </c>
      <c r="W71" s="357">
        <v>578.00742964892981</v>
      </c>
      <c r="X71" s="357">
        <v>681.08660734612124</v>
      </c>
      <c r="Y71" s="357">
        <v>807.11232756309062</v>
      </c>
      <c r="Z71" s="357">
        <v>947.65904277904963</v>
      </c>
      <c r="AA71" s="357">
        <v>1106.7214177432711</v>
      </c>
      <c r="AE71" s="361"/>
      <c r="AF71" s="361">
        <f t="shared" si="27"/>
        <v>-0.56344480772785932</v>
      </c>
      <c r="AG71" s="361">
        <f t="shared" si="28"/>
        <v>-0.57531645451887137</v>
      </c>
      <c r="AH71" s="361">
        <f t="shared" si="29"/>
        <v>-0.50953544656425376</v>
      </c>
      <c r="AI71" s="361">
        <f t="shared" si="30"/>
        <v>-0.45877194331873417</v>
      </c>
      <c r="AJ71" s="361">
        <f t="shared" si="31"/>
        <v>-0.42062978676038176</v>
      </c>
      <c r="AK71" s="361">
        <f t="shared" si="32"/>
        <v>-0.37160281547377638</v>
      </c>
      <c r="AL71" s="361">
        <f t="shared" si="33"/>
        <v>-0.36941345673835413</v>
      </c>
      <c r="AM71" s="361">
        <f t="shared" si="34"/>
        <v>-0.37900374200125697</v>
      </c>
      <c r="AN71" s="361">
        <f t="shared" si="35"/>
        <v>-0.39442300977017386</v>
      </c>
    </row>
    <row r="72" spans="2:40" x14ac:dyDescent="0.6">
      <c r="B72" s="79"/>
      <c r="C72" s="80"/>
      <c r="D72" s="80"/>
      <c r="E72" s="80"/>
      <c r="F72" s="80"/>
      <c r="G72" s="80"/>
      <c r="H72" s="80"/>
      <c r="I72" s="80"/>
      <c r="J72" s="80"/>
      <c r="K72" s="80"/>
      <c r="L72" s="80"/>
      <c r="M72" s="80"/>
      <c r="N72" s="80"/>
      <c r="O72" s="79"/>
      <c r="P72" s="357"/>
      <c r="Q72" s="357"/>
      <c r="R72" s="357"/>
      <c r="S72" s="357"/>
      <c r="T72" s="357"/>
      <c r="U72" s="357"/>
      <c r="V72" s="357"/>
      <c r="W72" s="357"/>
      <c r="X72" s="357"/>
      <c r="Y72" s="357"/>
      <c r="Z72" s="357"/>
      <c r="AA72" s="357"/>
      <c r="AE72" s="361"/>
      <c r="AF72" s="361"/>
      <c r="AG72" s="361"/>
      <c r="AH72" s="361"/>
      <c r="AI72" s="361"/>
      <c r="AJ72" s="361"/>
      <c r="AK72" s="361"/>
      <c r="AL72" s="361"/>
      <c r="AM72" s="361"/>
      <c r="AN72" s="361"/>
    </row>
    <row r="73" spans="2:40" x14ac:dyDescent="0.6">
      <c r="B73" s="371" t="s">
        <v>356</v>
      </c>
      <c r="C73" s="388">
        <f>Master!D4</f>
        <v>612.09999999999991</v>
      </c>
      <c r="D73" s="388">
        <f>Master!E4</f>
        <v>737.1</v>
      </c>
      <c r="E73" s="388">
        <f>Master!F4</f>
        <v>1696.9561700000002</v>
      </c>
      <c r="F73" s="388">
        <f>Master!G4</f>
        <v>4790.1710000000003</v>
      </c>
      <c r="G73" s="388">
        <f>Master!H4</f>
        <v>8028</v>
      </c>
      <c r="H73" s="388">
        <f>Master!I4</f>
        <v>11957.660811218131</v>
      </c>
      <c r="I73" s="388">
        <f>Master!J4</f>
        <v>15243.865667997801</v>
      </c>
      <c r="J73" s="388">
        <f>Master!K4</f>
        <v>18710.883180114535</v>
      </c>
      <c r="K73" s="388">
        <f>Master!L4</f>
        <v>21834.967731681201</v>
      </c>
      <c r="L73" s="388">
        <f>Master!M4</f>
        <v>24595.326169498534</v>
      </c>
      <c r="M73" s="388">
        <f>Master!N4</f>
        <v>27227.728042218161</v>
      </c>
      <c r="N73" s="388">
        <f>Master!O4</f>
        <v>30428.892243091002</v>
      </c>
      <c r="O73" s="79"/>
      <c r="P73" s="360">
        <v>612.09999999999991</v>
      </c>
      <c r="Q73" s="360">
        <v>737.09999999999991</v>
      </c>
      <c r="R73" s="360">
        <v>1714.1711161634685</v>
      </c>
      <c r="S73" s="360">
        <v>3464.984850211456</v>
      </c>
      <c r="T73" s="360">
        <v>4836.6640332835177</v>
      </c>
      <c r="U73" s="360">
        <v>5813.7802506006537</v>
      </c>
      <c r="V73" s="360">
        <v>6774.109700958832</v>
      </c>
      <c r="W73" s="360">
        <v>7839.5978001604371</v>
      </c>
      <c r="X73" s="360">
        <v>8868.677099905417</v>
      </c>
      <c r="Y73" s="360">
        <v>9881.549138719467</v>
      </c>
      <c r="Z73" s="360">
        <v>10999.739594709938</v>
      </c>
      <c r="AA73" s="360">
        <v>12217.096768085421</v>
      </c>
      <c r="AE73" s="361"/>
      <c r="AF73" s="367">
        <f t="shared" si="27"/>
        <v>0.38245077744212153</v>
      </c>
      <c r="AG73" s="367">
        <f t="shared" si="28"/>
        <v>0.65982171694277181</v>
      </c>
      <c r="AH73" s="367">
        <f t="shared" si="29"/>
        <v>1.0567789451592566</v>
      </c>
      <c r="AI73" s="367">
        <f t="shared" si="30"/>
        <v>1.2503127851384117</v>
      </c>
      <c r="AJ73" s="367">
        <f t="shared" si="31"/>
        <v>1.3867146832113781</v>
      </c>
      <c r="AK73" s="367">
        <f t="shared" si="32"/>
        <v>1.4620321030646237</v>
      </c>
      <c r="AL73" s="367">
        <f t="shared" si="33"/>
        <v>1.4890152165640904</v>
      </c>
      <c r="AM73" s="367">
        <f t="shared" si="34"/>
        <v>1.4753066022865386</v>
      </c>
      <c r="AN73" s="367">
        <f t="shared" si="35"/>
        <v>1.4906811184945381</v>
      </c>
    </row>
    <row r="74" spans="2:40" x14ac:dyDescent="0.6">
      <c r="B74" s="79" t="s">
        <v>344</v>
      </c>
      <c r="C74" s="79"/>
      <c r="D74" s="309">
        <f>D73/C73-1</f>
        <v>0.2042149975494203</v>
      </c>
      <c r="E74" s="309">
        <f t="shared" ref="E74:N74" si="37">E73/D73-1</f>
        <v>1.3022061728395062</v>
      </c>
      <c r="F74" s="309">
        <f t="shared" si="37"/>
        <v>1.8228018405448858</v>
      </c>
      <c r="G74" s="309">
        <f t="shared" si="37"/>
        <v>0.67593181955299708</v>
      </c>
      <c r="H74" s="309">
        <f t="shared" si="37"/>
        <v>0.48949437110340455</v>
      </c>
      <c r="I74" s="309">
        <f t="shared" si="37"/>
        <v>0.27482004287132011</v>
      </c>
      <c r="J74" s="309">
        <f t="shared" si="37"/>
        <v>0.22743689741344375</v>
      </c>
      <c r="K74" s="309">
        <f t="shared" si="37"/>
        <v>0.16696617265436542</v>
      </c>
      <c r="L74" s="309">
        <f t="shared" si="37"/>
        <v>0.12641916726133839</v>
      </c>
      <c r="M74" s="309">
        <f t="shared" si="37"/>
        <v>0.10702854089343838</v>
      </c>
      <c r="N74" s="309">
        <f t="shared" si="37"/>
        <v>0.11757000789449834</v>
      </c>
      <c r="O74" s="79"/>
      <c r="P74" s="353"/>
      <c r="Q74" s="352">
        <v>0.20421499754942007</v>
      </c>
      <c r="R74" s="352">
        <v>1.3255611398229123</v>
      </c>
      <c r="S74" s="352">
        <v>1.0213762894141687</v>
      </c>
      <c r="T74" s="352">
        <v>0.39586873893210606</v>
      </c>
      <c r="U74" s="352">
        <v>0.20202276002490716</v>
      </c>
      <c r="V74" s="352">
        <v>0.16518158736029998</v>
      </c>
      <c r="W74" s="352">
        <v>0.15728828528578331</v>
      </c>
      <c r="X74" s="352">
        <v>0.13126684888399764</v>
      </c>
      <c r="Y74" s="352">
        <v>0.11420779304557738</v>
      </c>
      <c r="Z74" s="352">
        <v>0.11315942877913732</v>
      </c>
      <c r="AA74" s="352">
        <v>0.11067145389159405</v>
      </c>
      <c r="AE74" s="361"/>
      <c r="AF74" s="361">
        <f t="shared" si="27"/>
        <v>0.78465259027149648</v>
      </c>
      <c r="AG74" s="361">
        <f t="shared" si="28"/>
        <v>0.70746450294708318</v>
      </c>
      <c r="AH74" s="361">
        <f t="shared" si="29"/>
        <v>1.4229664570618445</v>
      </c>
      <c r="AI74" s="361">
        <f t="shared" si="30"/>
        <v>0.66374501700285049</v>
      </c>
      <c r="AJ74" s="361">
        <f t="shared" si="31"/>
        <v>0.44598751903363087</v>
      </c>
      <c r="AK74" s="361">
        <f t="shared" si="32"/>
        <v>0.27195993561112886</v>
      </c>
      <c r="AL74" s="361">
        <f t="shared" si="33"/>
        <v>0.10692242525768592</v>
      </c>
      <c r="AM74" s="361">
        <f t="shared" si="34"/>
        <v>-5.4179204966340877E-2</v>
      </c>
      <c r="AN74" s="361">
        <f t="shared" si="35"/>
        <v>6.2333634919639058E-2</v>
      </c>
    </row>
    <row r="75" spans="2:40" x14ac:dyDescent="0.6">
      <c r="B75" s="77"/>
      <c r="C75" s="77"/>
      <c r="D75" s="77"/>
      <c r="E75" s="77"/>
      <c r="F75" s="77"/>
      <c r="G75" s="77"/>
      <c r="H75" s="77"/>
      <c r="I75" s="77"/>
      <c r="J75" s="77"/>
      <c r="K75" s="77"/>
      <c r="L75" s="77"/>
      <c r="M75" s="77"/>
      <c r="N75" s="77"/>
      <c r="O75" s="79"/>
      <c r="P75" s="353"/>
      <c r="Q75" s="353"/>
      <c r="R75" s="353"/>
      <c r="S75" s="353"/>
      <c r="T75" s="353"/>
      <c r="U75" s="353"/>
      <c r="V75" s="353"/>
      <c r="W75" s="353"/>
      <c r="X75" s="353"/>
      <c r="Y75" s="353"/>
      <c r="Z75" s="353"/>
      <c r="AA75" s="353"/>
      <c r="AE75" s="361"/>
      <c r="AF75" s="361"/>
      <c r="AG75" s="361"/>
      <c r="AH75" s="361"/>
      <c r="AI75" s="361"/>
      <c r="AJ75" s="361"/>
      <c r="AK75" s="361"/>
      <c r="AL75" s="361"/>
      <c r="AM75" s="361"/>
      <c r="AN75" s="361"/>
    </row>
    <row r="76" spans="2:40" x14ac:dyDescent="0.6">
      <c r="B76" s="79" t="s">
        <v>390</v>
      </c>
      <c r="C76" s="155">
        <f>C73/AVERAGE(6,C3)/12</f>
        <v>5.6362799263351739</v>
      </c>
      <c r="D76" s="155">
        <f>D73/AVERAGE(C3,D3)/12</f>
        <v>3.6238938053097347</v>
      </c>
      <c r="E76" s="155">
        <f t="shared" ref="E76:N76" si="38">E73/AVERAGE(D3,E3)/12</f>
        <v>4.4964392421833601</v>
      </c>
      <c r="F76" s="155">
        <f t="shared" si="38"/>
        <v>7.8041234929944601</v>
      </c>
      <c r="G76" s="155">
        <f t="shared" si="38"/>
        <v>9.612068965517242</v>
      </c>
      <c r="H76" s="155">
        <f t="shared" si="38"/>
        <v>11.573423162232027</v>
      </c>
      <c r="I76" s="155">
        <f t="shared" si="38"/>
        <v>12.652610946213313</v>
      </c>
      <c r="J76" s="155">
        <f t="shared" si="38"/>
        <v>13.984217623403987</v>
      </c>
      <c r="K76" s="155">
        <f t="shared" si="38"/>
        <v>15.050294824704443</v>
      </c>
      <c r="L76" s="155">
        <f t="shared" si="38"/>
        <v>15.900779783746144</v>
      </c>
      <c r="M76" s="155">
        <f t="shared" si="38"/>
        <v>16.850927121065826</v>
      </c>
      <c r="N76" s="155">
        <f t="shared" si="38"/>
        <v>18.295389756548218</v>
      </c>
      <c r="O76" s="79"/>
      <c r="P76" s="350">
        <v>5.6362799263351739</v>
      </c>
      <c r="Q76" s="350">
        <v>3.6238938053097343</v>
      </c>
      <c r="R76" s="350">
        <v>4.5576734276637678</v>
      </c>
      <c r="S76" s="350">
        <v>6.4694379487483076</v>
      </c>
      <c r="T76" s="350">
        <v>7.976239361031439</v>
      </c>
      <c r="U76" s="350">
        <v>8.8552034635995245</v>
      </c>
      <c r="V76" s="350">
        <v>9.6483815046156156</v>
      </c>
      <c r="W76" s="350">
        <v>10.517775633969714</v>
      </c>
      <c r="X76" s="350">
        <v>11.287958152575593</v>
      </c>
      <c r="Y76" s="350">
        <v>11.94624028797473</v>
      </c>
      <c r="Z76" s="350">
        <v>12.607873096542169</v>
      </c>
      <c r="AA76" s="350">
        <v>13.327522691509943</v>
      </c>
      <c r="AE76" s="361">
        <f t="shared" ref="AE76:AE88" si="39">E76/R76-1</f>
        <v>-1.3435404368538961E-2</v>
      </c>
      <c r="AF76" s="361">
        <f t="shared" si="27"/>
        <v>0.20630625949575498</v>
      </c>
      <c r="AG76" s="361">
        <f t="shared" si="28"/>
        <v>0.20508782778984558</v>
      </c>
      <c r="AH76" s="361">
        <f t="shared" si="29"/>
        <v>0.30696298620422446</v>
      </c>
      <c r="AI76" s="361">
        <f t="shared" si="30"/>
        <v>0.31137133623504898</v>
      </c>
      <c r="AJ76" s="361">
        <f t="shared" si="31"/>
        <v>0.32957938161739775</v>
      </c>
      <c r="AK76" s="361">
        <f t="shared" si="32"/>
        <v>0.33330533487762715</v>
      </c>
      <c r="AL76" s="361">
        <f t="shared" si="33"/>
        <v>0.33102795527661666</v>
      </c>
      <c r="AM76" s="361">
        <f t="shared" si="34"/>
        <v>0.33654003272664257</v>
      </c>
      <c r="AN76" s="361">
        <f t="shared" si="35"/>
        <v>0.37275247471182071</v>
      </c>
    </row>
    <row r="77" spans="2:40" x14ac:dyDescent="0.6">
      <c r="B77" s="77" t="s">
        <v>391</v>
      </c>
      <c r="C77" s="428">
        <f>C76*Drivers!D4</f>
        <v>22.241324217311231</v>
      </c>
      <c r="D77" s="428">
        <f>D76*Drivers!E4</f>
        <v>18.681897345132743</v>
      </c>
      <c r="E77" s="428">
        <f>E76*Drivers!F4</f>
        <v>24.260987575124538</v>
      </c>
      <c r="F77" s="428">
        <f>F76*Drivers!G4</f>
        <v>40.269277223851418</v>
      </c>
      <c r="G77" s="428">
        <f>G76*Drivers!H4</f>
        <v>47.964224137931041</v>
      </c>
      <c r="H77" s="428">
        <f>H76*Drivers!I4</f>
        <v>62.496485076052949</v>
      </c>
      <c r="I77" s="428">
        <f>I76*Drivers!J4</f>
        <v>70.34851686094602</v>
      </c>
      <c r="J77" s="428">
        <f>J76*Drivers!K4</f>
        <v>77.752249986126159</v>
      </c>
      <c r="K77" s="428">
        <f>K76*Drivers!L4</f>
        <v>83.679639225356695</v>
      </c>
      <c r="L77" s="428">
        <f>L76*Drivers!M4</f>
        <v>88.40833559762855</v>
      </c>
      <c r="M77" s="428">
        <f>M76*Drivers!N4</f>
        <v>93.691154793125989</v>
      </c>
      <c r="N77" s="428">
        <f>N76*Drivers!O4</f>
        <v>101.72236704640808</v>
      </c>
      <c r="O77" s="79"/>
      <c r="P77" s="350">
        <v>22.239069705340697</v>
      </c>
      <c r="Q77" s="350">
        <v>18.68479646017699</v>
      </c>
      <c r="R77" s="350">
        <v>25.067203852150723</v>
      </c>
      <c r="S77" s="350">
        <v>35.581908718115692</v>
      </c>
      <c r="T77" s="350">
        <v>43.869316485672911</v>
      </c>
      <c r="U77" s="350">
        <v>48.703619049797382</v>
      </c>
      <c r="V77" s="350">
        <v>53.066098275385883</v>
      </c>
      <c r="W77" s="350">
        <v>57.84776598683343</v>
      </c>
      <c r="X77" s="350">
        <v>62.083769839165761</v>
      </c>
      <c r="Y77" s="350">
        <v>65.704321583861017</v>
      </c>
      <c r="Z77" s="350">
        <v>69.343302030981931</v>
      </c>
      <c r="AA77" s="350">
        <v>73.301374803304682</v>
      </c>
      <c r="AE77" s="361">
        <f t="shared" si="39"/>
        <v>-3.2162194147434264E-2</v>
      </c>
      <c r="AF77" s="361">
        <f t="shared" si="27"/>
        <v>0.13173459981783564</v>
      </c>
      <c r="AG77" s="361">
        <f t="shared" si="28"/>
        <v>9.3343320122059925E-2</v>
      </c>
      <c r="AH77" s="361">
        <f t="shared" si="29"/>
        <v>0.28320002281869328</v>
      </c>
      <c r="AI77" s="361">
        <f t="shared" si="30"/>
        <v>0.32567720535761335</v>
      </c>
      <c r="AJ77" s="361">
        <f t="shared" si="31"/>
        <v>0.3440838839623146</v>
      </c>
      <c r="AK77" s="361">
        <f t="shared" si="32"/>
        <v>0.3478504839853831</v>
      </c>
      <c r="AL77" s="361">
        <f t="shared" si="33"/>
        <v>0.34554826024327046</v>
      </c>
      <c r="AM77" s="361">
        <f t="shared" si="34"/>
        <v>0.35112046944729669</v>
      </c>
      <c r="AN77" s="361">
        <f t="shared" si="35"/>
        <v>0.38772795625413137</v>
      </c>
    </row>
    <row r="78" spans="2:40" x14ac:dyDescent="0.6">
      <c r="B78" s="79"/>
      <c r="C78" s="79"/>
      <c r="D78" s="79"/>
      <c r="E78" s="79"/>
      <c r="F78" s="79"/>
      <c r="G78" s="79"/>
      <c r="H78" s="79"/>
      <c r="I78" s="79"/>
      <c r="J78" s="79"/>
      <c r="K78" s="79"/>
      <c r="L78" s="79"/>
      <c r="M78" s="79"/>
      <c r="N78" s="79"/>
      <c r="O78" s="79"/>
      <c r="P78" s="353"/>
      <c r="Q78" s="353"/>
      <c r="R78" s="353"/>
      <c r="S78" s="353"/>
      <c r="T78" s="353"/>
      <c r="U78" s="353"/>
      <c r="V78" s="353"/>
      <c r="W78" s="353"/>
      <c r="X78" s="353"/>
      <c r="Y78" s="353"/>
      <c r="Z78" s="353"/>
      <c r="AA78" s="353"/>
      <c r="AE78" s="361"/>
      <c r="AF78" s="361"/>
      <c r="AG78" s="361"/>
      <c r="AH78" s="361"/>
      <c r="AI78" s="361"/>
      <c r="AJ78" s="361"/>
      <c r="AK78" s="361"/>
      <c r="AL78" s="361"/>
      <c r="AM78" s="361"/>
      <c r="AN78" s="361"/>
    </row>
    <row r="79" spans="2:40" x14ac:dyDescent="0.6">
      <c r="B79" s="77" t="str">
        <f>'Revenue and Expenses breakdown'!A70</f>
        <v>Interest and other financial expenses</v>
      </c>
      <c r="C79" s="78">
        <f>-'Revenue and Expenses breakdown'!C70</f>
        <v>109.69999999999999</v>
      </c>
      <c r="D79" s="78">
        <f>-'Revenue and Expenses breakdown'!D70</f>
        <v>113.9</v>
      </c>
      <c r="E79" s="78">
        <f>-'Revenue and Expenses breakdown'!E70</f>
        <v>367.34399999999999</v>
      </c>
      <c r="F79" s="78">
        <f>-'Revenue and Expenses breakdown'!F70</f>
        <v>1548</v>
      </c>
      <c r="G79" s="78">
        <f>-'Revenue and Expenses breakdown'!G70</f>
        <v>2036</v>
      </c>
      <c r="H79" s="78">
        <f>-'Revenue and Expenses breakdown'!H70</f>
        <v>2844.4204600881767</v>
      </c>
      <c r="I79" s="78">
        <f>-'Revenue and Expenses breakdown'!I70</f>
        <v>3461.6073036878447</v>
      </c>
      <c r="J79" s="78">
        <f>-'Revenue and Expenses breakdown'!J70</f>
        <v>4006.2684307533441</v>
      </c>
      <c r="K79" s="78">
        <f>-'Revenue and Expenses breakdown'!K70</f>
        <v>4470.6273251791217</v>
      </c>
      <c r="L79" s="78">
        <f>-'Revenue and Expenses breakdown'!L70</f>
        <v>5152.1537430362087</v>
      </c>
      <c r="M79" s="78">
        <f>-'Revenue and Expenses breakdown'!M70</f>
        <v>5842.4118397407856</v>
      </c>
      <c r="N79" s="78">
        <f>-'Revenue and Expenses breakdown'!N70</f>
        <v>6548.3490894185179</v>
      </c>
      <c r="O79" s="80"/>
      <c r="P79" s="357">
        <v>109.69999999999999</v>
      </c>
      <c r="Q79" s="357">
        <v>113.9</v>
      </c>
      <c r="R79" s="357">
        <v>366.19026496366041</v>
      </c>
      <c r="S79" s="357">
        <v>1016.3437480275958</v>
      </c>
      <c r="T79" s="357">
        <v>945.28372233767834</v>
      </c>
      <c r="U79" s="357">
        <v>856.53054305309001</v>
      </c>
      <c r="V79" s="357">
        <v>917.65443193643353</v>
      </c>
      <c r="W79" s="357">
        <v>973.93973765956218</v>
      </c>
      <c r="X79" s="357">
        <v>1024.0850244992578</v>
      </c>
      <c r="Y79" s="357">
        <v>1072.8689003798245</v>
      </c>
      <c r="Z79" s="357">
        <v>1122.8362166886702</v>
      </c>
      <c r="AA79" s="357">
        <v>1167.9682399469796</v>
      </c>
      <c r="AE79" s="361">
        <f t="shared" si="39"/>
        <v>3.1506436591208775E-3</v>
      </c>
      <c r="AF79" s="361">
        <f t="shared" si="27"/>
        <v>0.5231067274277843</v>
      </c>
      <c r="AG79" s="361">
        <f t="shared" si="28"/>
        <v>1.1538506925359826</v>
      </c>
      <c r="AH79" s="361">
        <f t="shared" si="29"/>
        <v>2.3208628497347958</v>
      </c>
      <c r="AI79" s="361">
        <f t="shared" si="30"/>
        <v>2.7722340602476732</v>
      </c>
      <c r="AJ79" s="361">
        <f t="shared" si="31"/>
        <v>3.1134664454503689</v>
      </c>
      <c r="AK79" s="361">
        <f t="shared" si="32"/>
        <v>3.3654845234799762</v>
      </c>
      <c r="AL79" s="361">
        <f t="shared" si="33"/>
        <v>3.8022211672015169</v>
      </c>
      <c r="AM79" s="361">
        <f t="shared" si="34"/>
        <v>4.2032627313808106</v>
      </c>
      <c r="AN79" s="361">
        <f t="shared" si="35"/>
        <v>4.6066157156086565</v>
      </c>
    </row>
    <row r="80" spans="2:40" x14ac:dyDescent="0.6">
      <c r="B80" s="79" t="s">
        <v>475</v>
      </c>
      <c r="C80" s="80">
        <f>-'Revenue and Expenses breakdown'!C78</f>
        <v>79.3</v>
      </c>
      <c r="D80" s="80">
        <f>-'Revenue and Expenses breakdown'!D78</f>
        <v>126.8</v>
      </c>
      <c r="E80" s="80">
        <f>-'Revenue and Expenses breakdown'!E78</f>
        <v>117.11899999999999</v>
      </c>
      <c r="F80" s="80">
        <f>-'Revenue and Expenses breakdown'!F78</f>
        <v>174</v>
      </c>
      <c r="G80" s="80">
        <f>-'Revenue and Expenses breakdown'!G78</f>
        <v>215</v>
      </c>
      <c r="H80" s="80">
        <f>-'Revenue and Expenses breakdown'!H78</f>
        <v>268.75</v>
      </c>
      <c r="I80" s="80">
        <f>-'Revenue and Expenses breakdown'!I78</f>
        <v>349.375</v>
      </c>
      <c r="J80" s="80">
        <f>-'Revenue and Expenses breakdown'!J78</f>
        <v>442.25346130044193</v>
      </c>
      <c r="K80" s="80">
        <f>-'Revenue and Expenses breakdown'!K78</f>
        <v>541.97984721637488</v>
      </c>
      <c r="L80" s="80">
        <f>-'Revenue and Expenses breakdown'!L78</f>
        <v>606.37484191264946</v>
      </c>
      <c r="M80" s="80">
        <f>-'Revenue and Expenses breakdown'!M78</f>
        <v>664.43353460594312</v>
      </c>
      <c r="N80" s="80">
        <f>-'Revenue and Expenses breakdown'!N78</f>
        <v>722.65404533417609</v>
      </c>
      <c r="O80" s="80"/>
      <c r="P80" s="357">
        <v>79.3</v>
      </c>
      <c r="Q80" s="357">
        <v>126.8</v>
      </c>
      <c r="R80" s="357">
        <v>126.8</v>
      </c>
      <c r="S80" s="357">
        <v>223.84936372729101</v>
      </c>
      <c r="T80" s="357">
        <v>308.74286569796766</v>
      </c>
      <c r="U80" s="357">
        <v>355.5556675268349</v>
      </c>
      <c r="V80" s="357">
        <v>405.4457920066796</v>
      </c>
      <c r="W80" s="357">
        <v>462.47086473896491</v>
      </c>
      <c r="X80" s="357">
        <v>526.25397113312329</v>
      </c>
      <c r="Y80" s="357">
        <v>597.34644075907488</v>
      </c>
      <c r="Z80" s="357">
        <v>676.33770208833698</v>
      </c>
      <c r="AA80" s="357">
        <v>763.86981994220434</v>
      </c>
      <c r="AE80" s="361">
        <f t="shared" si="39"/>
        <v>-7.6348580441640501E-2</v>
      </c>
      <c r="AF80" s="361">
        <f t="shared" si="27"/>
        <v>-0.2226915587216991</v>
      </c>
      <c r="AG80" s="361">
        <f t="shared" si="28"/>
        <v>-0.30362763358448908</v>
      </c>
      <c r="AH80" s="361">
        <f t="shared" si="29"/>
        <v>-0.24414086303457216</v>
      </c>
      <c r="AI80" s="361">
        <f t="shared" si="30"/>
        <v>-0.13829417671143529</v>
      </c>
      <c r="AJ80" s="361">
        <f t="shared" si="31"/>
        <v>-4.3716058632005672E-2</v>
      </c>
      <c r="AK80" s="361">
        <f t="shared" si="32"/>
        <v>2.9882674423132416E-2</v>
      </c>
      <c r="AL80" s="361">
        <f t="shared" si="33"/>
        <v>1.5114179205791833E-2</v>
      </c>
      <c r="AM80" s="361">
        <f t="shared" si="34"/>
        <v>-1.7600922506075256E-2</v>
      </c>
      <c r="AN80" s="361">
        <f t="shared" si="35"/>
        <v>-5.3956542766864013E-2</v>
      </c>
    </row>
    <row r="81" spans="2:40" x14ac:dyDescent="0.6">
      <c r="B81" s="77" t="str">
        <f>'Revenue and Expenses breakdown'!A84</f>
        <v>Credit loss allowance expenses</v>
      </c>
      <c r="C81" s="78">
        <f>-'Revenue and Expenses breakdown'!C84</f>
        <v>175.2</v>
      </c>
      <c r="D81" s="78">
        <f>-'Revenue and Expenses breakdown'!D84</f>
        <v>169.5</v>
      </c>
      <c r="E81" s="78">
        <f>-'Revenue and Expenses breakdown'!E84</f>
        <v>480.64299999999997</v>
      </c>
      <c r="F81" s="78">
        <f>-'Revenue and Expenses breakdown'!F84</f>
        <v>1405</v>
      </c>
      <c r="G81" s="78">
        <f>-'Revenue and Expenses breakdown'!G84</f>
        <v>2285</v>
      </c>
      <c r="H81" s="78">
        <f>-'Revenue and Expenses breakdown'!H84</f>
        <v>3397.7659999999996</v>
      </c>
      <c r="I81" s="78">
        <f>-'Revenue and Expenses breakdown'!I84</f>
        <v>4216.4800000000005</v>
      </c>
      <c r="J81" s="78">
        <f>-'Revenue and Expenses breakdown'!J84</f>
        <v>5153.5</v>
      </c>
      <c r="K81" s="78">
        <f>-'Revenue and Expenses breakdown'!K84</f>
        <v>5584.42</v>
      </c>
      <c r="L81" s="78">
        <f>-'Revenue and Expenses breakdown'!L84</f>
        <v>5883.5</v>
      </c>
      <c r="M81" s="78">
        <f>-'Revenue and Expenses breakdown'!M84</f>
        <v>6314.42</v>
      </c>
      <c r="N81" s="78">
        <f>-'Revenue and Expenses breakdown'!N84</f>
        <v>6613.5000000000009</v>
      </c>
      <c r="O81" s="80"/>
      <c r="P81" s="357">
        <v>175.2</v>
      </c>
      <c r="Q81" s="357">
        <v>169.5</v>
      </c>
      <c r="R81" s="357">
        <v>434.7492463899552</v>
      </c>
      <c r="S81" s="357">
        <v>783.91404042878958</v>
      </c>
      <c r="T81" s="357">
        <v>972.77291625838427</v>
      </c>
      <c r="U81" s="357">
        <v>1129.1958590208783</v>
      </c>
      <c r="V81" s="357">
        <v>1286.6971058894471</v>
      </c>
      <c r="W81" s="357">
        <v>1458.4823063599933</v>
      </c>
      <c r="X81" s="357">
        <v>1572.1996070107716</v>
      </c>
      <c r="Y81" s="357">
        <v>1698.960195750954</v>
      </c>
      <c r="Z81" s="357">
        <v>1826.6461523723196</v>
      </c>
      <c r="AA81" s="357">
        <v>1959.5198645871212</v>
      </c>
      <c r="AE81" s="361">
        <f t="shared" si="39"/>
        <v>0.10556373355706672</v>
      </c>
      <c r="AF81" s="361">
        <f t="shared" si="27"/>
        <v>0.79228834736967513</v>
      </c>
      <c r="AG81" s="361">
        <f t="shared" si="28"/>
        <v>1.3489551999339042</v>
      </c>
      <c r="AH81" s="361">
        <f t="shared" si="29"/>
        <v>2.0090138684587369</v>
      </c>
      <c r="AI81" s="361">
        <f t="shared" si="30"/>
        <v>2.2769794699159602</v>
      </c>
      <c r="AJ81" s="361">
        <f t="shared" si="31"/>
        <v>2.5334676173493293</v>
      </c>
      <c r="AK81" s="361">
        <f t="shared" si="32"/>
        <v>2.5519790076895368</v>
      </c>
      <c r="AL81" s="361">
        <f t="shared" si="33"/>
        <v>2.4630004956646121</v>
      </c>
      <c r="AM81" s="361">
        <f t="shared" si="34"/>
        <v>2.4568380919310919</v>
      </c>
      <c r="AN81" s="361">
        <f t="shared" si="35"/>
        <v>2.3750614727212742</v>
      </c>
    </row>
    <row r="82" spans="2:40" x14ac:dyDescent="0.6">
      <c r="B82" s="82" t="str">
        <f>Master!B15</f>
        <v>Gross profit</v>
      </c>
      <c r="C82" s="422">
        <f>Master!D15</f>
        <v>247.89999999999992</v>
      </c>
      <c r="D82" s="422">
        <f>Master!E15</f>
        <v>326.90000000000003</v>
      </c>
      <c r="E82" s="422">
        <f>Master!F15</f>
        <v>731.85017000000016</v>
      </c>
      <c r="F82" s="422">
        <f>Master!G15</f>
        <v>1663.1710000000003</v>
      </c>
      <c r="G82" s="422">
        <f>Master!H15</f>
        <v>3492</v>
      </c>
      <c r="H82" s="422">
        <f>Master!I15</f>
        <v>5446.7243511299548</v>
      </c>
      <c r="I82" s="422">
        <f>Master!J15</f>
        <v>7216.4033643099556</v>
      </c>
      <c r="J82" s="422">
        <f>Master!K15</f>
        <v>9108.8612880607488</v>
      </c>
      <c r="K82" s="422">
        <f>Master!L15</f>
        <v>11237.940559285704</v>
      </c>
      <c r="L82" s="422">
        <f>Master!M15</f>
        <v>12953.297584549677</v>
      </c>
      <c r="M82" s="422">
        <f>Master!N15</f>
        <v>14406.462667871432</v>
      </c>
      <c r="N82" s="422">
        <f>Master!O15</f>
        <v>16544.389108338306</v>
      </c>
      <c r="O82" s="80"/>
      <c r="P82" s="360">
        <v>247.89999999999992</v>
      </c>
      <c r="Q82" s="360">
        <v>326.89999999999992</v>
      </c>
      <c r="R82" s="360">
        <v>786.43160480985284</v>
      </c>
      <c r="S82" s="360">
        <v>1440.8776980277796</v>
      </c>
      <c r="T82" s="360">
        <v>2609.8645289894876</v>
      </c>
      <c r="U82" s="360">
        <v>3472.4981809998508</v>
      </c>
      <c r="V82" s="360">
        <v>4164.3123711262715</v>
      </c>
      <c r="W82" s="360">
        <v>4944.7048914019169</v>
      </c>
      <c r="X82" s="360">
        <v>5746.1384972622645</v>
      </c>
      <c r="Y82" s="360">
        <v>6512.3736018296131</v>
      </c>
      <c r="Z82" s="360">
        <v>7373.9195235606112</v>
      </c>
      <c r="AA82" s="360">
        <v>8325.7388436091169</v>
      </c>
      <c r="AE82" s="367">
        <f t="shared" si="39"/>
        <v>-6.9403918250525609E-2</v>
      </c>
      <c r="AF82" s="367">
        <f t="shared" si="27"/>
        <v>0.15427631524624719</v>
      </c>
      <c r="AG82" s="367">
        <f t="shared" si="28"/>
        <v>0.33800048286493478</v>
      </c>
      <c r="AH82" s="367">
        <f t="shared" si="29"/>
        <v>0.56853195227928288</v>
      </c>
      <c r="AI82" s="367">
        <f t="shared" si="30"/>
        <v>0.73291595854953151</v>
      </c>
      <c r="AJ82" s="367">
        <f t="shared" si="31"/>
        <v>0.84214457447190849</v>
      </c>
      <c r="AK82" s="367">
        <f t="shared" si="32"/>
        <v>0.95573785153977697</v>
      </c>
      <c r="AL82" s="367">
        <f t="shared" si="33"/>
        <v>0.9890286363347649</v>
      </c>
      <c r="AM82" s="367">
        <f t="shared" si="34"/>
        <v>0.9537048949125293</v>
      </c>
      <c r="AN82" s="367">
        <f t="shared" si="35"/>
        <v>0.98713764857492148</v>
      </c>
    </row>
    <row r="83" spans="2:40" x14ac:dyDescent="0.6">
      <c r="B83" s="77"/>
      <c r="C83" s="78"/>
      <c r="D83" s="78"/>
      <c r="E83" s="78"/>
      <c r="F83" s="78"/>
      <c r="G83" s="78"/>
      <c r="H83" s="78"/>
      <c r="I83" s="78"/>
      <c r="J83" s="78"/>
      <c r="K83" s="78"/>
      <c r="L83" s="78"/>
      <c r="M83" s="78"/>
      <c r="N83" s="78"/>
      <c r="O83" s="79"/>
      <c r="P83" s="357"/>
      <c r="Q83" s="357"/>
      <c r="R83" s="357"/>
      <c r="S83" s="357"/>
      <c r="T83" s="357"/>
      <c r="U83" s="357"/>
      <c r="V83" s="357"/>
      <c r="W83" s="357"/>
      <c r="X83" s="357"/>
      <c r="Y83" s="357"/>
      <c r="Z83" s="357"/>
      <c r="AA83" s="357"/>
      <c r="AE83" s="361"/>
      <c r="AF83" s="361"/>
      <c r="AG83" s="361"/>
      <c r="AH83" s="361"/>
      <c r="AI83" s="361"/>
      <c r="AJ83" s="361"/>
      <c r="AK83" s="361"/>
      <c r="AL83" s="361"/>
      <c r="AM83" s="361"/>
      <c r="AN83" s="361"/>
    </row>
    <row r="84" spans="2:40" x14ac:dyDescent="0.6">
      <c r="B84" s="79" t="str">
        <f>Master!B40</f>
        <v>Total operating expenses</v>
      </c>
      <c r="C84" s="80">
        <f>-Master!D40</f>
        <v>377.20000000000005</v>
      </c>
      <c r="D84" s="80">
        <f>-Master!E40</f>
        <v>418.9</v>
      </c>
      <c r="E84" s="80">
        <f>-Master!F40</f>
        <v>903.0809999999999</v>
      </c>
      <c r="F84" s="80">
        <f>-Master!G40</f>
        <v>1971</v>
      </c>
      <c r="G84" s="80">
        <f>-Master!H40</f>
        <v>1951</v>
      </c>
      <c r="H84" s="80">
        <f>-Master!I40</f>
        <v>2593.4254625444614</v>
      </c>
      <c r="I84" s="80">
        <f>-Master!J40</f>
        <v>3008.4291239157888</v>
      </c>
      <c r="J84" s="80">
        <f>-Master!K40</f>
        <v>3491.8149493300953</v>
      </c>
      <c r="K84" s="80">
        <f>-Master!L40</f>
        <v>3937.9687613718434</v>
      </c>
      <c r="L84" s="80">
        <f>-Master!M40</f>
        <v>4300.8119201270729</v>
      </c>
      <c r="M84" s="80">
        <f>-Master!N40</f>
        <v>4621.4668109097756</v>
      </c>
      <c r="N84" s="80">
        <f>-Master!O40</f>
        <v>5002.9997218522931</v>
      </c>
      <c r="O84" s="79"/>
      <c r="P84" s="357">
        <v>377.20000000000005</v>
      </c>
      <c r="Q84" s="357">
        <v>418.9</v>
      </c>
      <c r="R84" s="357">
        <v>904.22526377622955</v>
      </c>
      <c r="S84" s="357">
        <v>1715.1675008546706</v>
      </c>
      <c r="T84" s="357">
        <v>2258.7221035434027</v>
      </c>
      <c r="U84" s="357">
        <v>2412.7188039992716</v>
      </c>
      <c r="V84" s="357">
        <v>2594.4840154672329</v>
      </c>
      <c r="W84" s="357">
        <v>2869.2927948587203</v>
      </c>
      <c r="X84" s="357">
        <v>3095.1683078669903</v>
      </c>
      <c r="Y84" s="357">
        <v>3280.6743140548629</v>
      </c>
      <c r="Z84" s="357">
        <v>3464.9179723336301</v>
      </c>
      <c r="AA84" s="357">
        <v>3640.6948368894546</v>
      </c>
      <c r="AE84" s="361">
        <f t="shared" si="39"/>
        <v>-1.2654631783356463E-3</v>
      </c>
      <c r="AF84" s="361">
        <f t="shared" si="27"/>
        <v>0.14915890081746985</v>
      </c>
      <c r="AG84" s="361">
        <f t="shared" si="28"/>
        <v>-0.13623725692534694</v>
      </c>
      <c r="AH84" s="361">
        <f t="shared" si="29"/>
        <v>7.4897521520391974E-2</v>
      </c>
      <c r="AI84" s="361">
        <f t="shared" si="30"/>
        <v>0.15954814366971903</v>
      </c>
      <c r="AJ84" s="361">
        <f t="shared" si="31"/>
        <v>0.21696013581703055</v>
      </c>
      <c r="AK84" s="361">
        <f t="shared" si="32"/>
        <v>0.27229551664854768</v>
      </c>
      <c r="AL84" s="361">
        <f t="shared" si="33"/>
        <v>0.31095363587351521</v>
      </c>
      <c r="AM84" s="361">
        <f t="shared" si="34"/>
        <v>0.33378823043167372</v>
      </c>
      <c r="AN84" s="361">
        <f t="shared" si="35"/>
        <v>0.3741881552826789</v>
      </c>
    </row>
    <row r="85" spans="2:40" x14ac:dyDescent="0.6">
      <c r="B85" s="77"/>
      <c r="C85" s="78"/>
      <c r="D85" s="78"/>
      <c r="E85" s="78"/>
      <c r="F85" s="78"/>
      <c r="G85" s="78"/>
      <c r="H85" s="78"/>
      <c r="I85" s="78"/>
      <c r="J85" s="78"/>
      <c r="K85" s="78"/>
      <c r="L85" s="78"/>
      <c r="M85" s="78"/>
      <c r="N85" s="78"/>
      <c r="O85" s="79"/>
      <c r="P85" s="357"/>
      <c r="Q85" s="357"/>
      <c r="R85" s="357"/>
      <c r="S85" s="357"/>
      <c r="T85" s="357"/>
      <c r="U85" s="357"/>
      <c r="V85" s="357"/>
      <c r="W85" s="357"/>
      <c r="X85" s="357"/>
      <c r="Y85" s="357"/>
      <c r="Z85" s="357"/>
      <c r="AA85" s="357"/>
      <c r="AE85" s="361"/>
      <c r="AF85" s="361"/>
      <c r="AG85" s="361"/>
      <c r="AH85" s="361"/>
      <c r="AI85" s="361"/>
      <c r="AJ85" s="361"/>
      <c r="AK85" s="361"/>
      <c r="AL85" s="361"/>
      <c r="AM85" s="361"/>
      <c r="AN85" s="361"/>
    </row>
    <row r="86" spans="2:40" x14ac:dyDescent="0.6">
      <c r="B86" s="79" t="s">
        <v>476</v>
      </c>
      <c r="C86" s="80">
        <f>Master!D53</f>
        <v>-129.30000000000013</v>
      </c>
      <c r="D86" s="80">
        <f>Master!E53</f>
        <v>-193.19999999999993</v>
      </c>
      <c r="E86" s="80">
        <f>Master!F53</f>
        <v>-171.23082999999974</v>
      </c>
      <c r="F86" s="80">
        <f>Master!G53</f>
        <v>-307.82899999999972</v>
      </c>
      <c r="G86" s="80">
        <f>Master!H53</f>
        <v>1541</v>
      </c>
      <c r="H86" s="80">
        <f>Master!I53</f>
        <v>2853.2988885854934</v>
      </c>
      <c r="I86" s="80">
        <f>Master!J53</f>
        <v>4207.9742403941673</v>
      </c>
      <c r="J86" s="80">
        <f>Master!K53</f>
        <v>5617.0463387306536</v>
      </c>
      <c r="K86" s="80">
        <f>Master!L53</f>
        <v>7299.9717979138604</v>
      </c>
      <c r="L86" s="80">
        <f>Master!M53</f>
        <v>8652.4856644226038</v>
      </c>
      <c r="M86" s="80">
        <f>Master!N53</f>
        <v>9784.9958569616574</v>
      </c>
      <c r="N86" s="80">
        <f>Master!O53</f>
        <v>11541.389386486013</v>
      </c>
      <c r="O86" s="79"/>
      <c r="P86" s="357">
        <v>-129.30000000000013</v>
      </c>
      <c r="Q86" s="357">
        <v>-193.20000000000005</v>
      </c>
      <c r="R86" s="357">
        <v>-117.79365896637671</v>
      </c>
      <c r="S86" s="357">
        <v>-274.28980282689099</v>
      </c>
      <c r="T86" s="357">
        <v>351.14242544608487</v>
      </c>
      <c r="U86" s="357">
        <v>1059.7793770005792</v>
      </c>
      <c r="V86" s="357">
        <v>1569.8283556590386</v>
      </c>
      <c r="W86" s="357">
        <v>2075.4120965431966</v>
      </c>
      <c r="X86" s="357">
        <v>2650.9701893952742</v>
      </c>
      <c r="Y86" s="357">
        <v>3231.6992877747502</v>
      </c>
      <c r="Z86" s="357">
        <v>3909.0015512269811</v>
      </c>
      <c r="AA86" s="357">
        <v>4685.0440067196623</v>
      </c>
      <c r="AE86" s="361">
        <f t="shared" si="39"/>
        <v>0.45365065914860714</v>
      </c>
      <c r="AF86" s="361">
        <f t="shared" si="27"/>
        <v>0.12227650035636173</v>
      </c>
      <c r="AG86" s="361">
        <f t="shared" si="28"/>
        <v>3.3885326532171156</v>
      </c>
      <c r="AH86" s="361">
        <f t="shared" si="29"/>
        <v>1.6923517767075156</v>
      </c>
      <c r="AI86" s="361">
        <f t="shared" si="30"/>
        <v>1.6805314257606168</v>
      </c>
      <c r="AJ86" s="361">
        <f t="shared" si="31"/>
        <v>1.7064727762194303</v>
      </c>
      <c r="AK86" s="361">
        <f t="shared" si="32"/>
        <v>1.7536981845801489</v>
      </c>
      <c r="AL86" s="361">
        <f t="shared" si="33"/>
        <v>1.6773795746263391</v>
      </c>
      <c r="AM86" s="361">
        <f t="shared" si="34"/>
        <v>1.5031956955581878</v>
      </c>
      <c r="AN86" s="361">
        <f t="shared" si="35"/>
        <v>1.4634537839841921</v>
      </c>
    </row>
    <row r="87" spans="2:40" x14ac:dyDescent="0.6">
      <c r="B87" s="77"/>
      <c r="C87" s="78"/>
      <c r="D87" s="78"/>
      <c r="E87" s="78"/>
      <c r="F87" s="78"/>
      <c r="G87" s="78"/>
      <c r="H87" s="78"/>
      <c r="I87" s="78"/>
      <c r="J87" s="78"/>
      <c r="K87" s="78"/>
      <c r="L87" s="78"/>
      <c r="M87" s="78"/>
      <c r="N87" s="78"/>
      <c r="O87" s="79"/>
      <c r="P87" s="357"/>
      <c r="Q87" s="357"/>
      <c r="R87" s="357"/>
      <c r="S87" s="357"/>
      <c r="T87" s="357"/>
      <c r="U87" s="357"/>
      <c r="V87" s="357"/>
      <c r="W87" s="357"/>
      <c r="X87" s="357"/>
      <c r="Y87" s="357"/>
      <c r="Z87" s="357"/>
      <c r="AA87" s="357"/>
      <c r="AE87" s="361"/>
      <c r="AF87" s="361"/>
      <c r="AG87" s="361"/>
      <c r="AH87" s="361"/>
      <c r="AI87" s="361"/>
      <c r="AJ87" s="361"/>
      <c r="AK87" s="361"/>
      <c r="AL87" s="361"/>
      <c r="AM87" s="361"/>
      <c r="AN87" s="361"/>
    </row>
    <row r="88" spans="2:40" x14ac:dyDescent="0.6">
      <c r="B88" s="82" t="s">
        <v>24</v>
      </c>
      <c r="C88" s="422">
        <f>Master!D62</f>
        <v>-92.500000000000114</v>
      </c>
      <c r="D88" s="422">
        <f>Master!E62</f>
        <v>-171.49999999999994</v>
      </c>
      <c r="E88" s="422">
        <f>Master!F62</f>
        <v>-166.40082999999976</v>
      </c>
      <c r="F88" s="422">
        <f>Master!G62</f>
        <v>-363.82899999999972</v>
      </c>
      <c r="G88" s="422">
        <f>Master!H62</f>
        <v>1033</v>
      </c>
      <c r="H88" s="422">
        <f>Master!I62</f>
        <v>1941.3195554341974</v>
      </c>
      <c r="I88" s="422">
        <f>Master!J62</f>
        <v>2819.342741064092</v>
      </c>
      <c r="J88" s="422">
        <f>Master!K62</f>
        <v>3763.4210469495379</v>
      </c>
      <c r="K88" s="422">
        <f>Master!L62</f>
        <v>4817.981386623147</v>
      </c>
      <c r="L88" s="422">
        <f>Master!M62</f>
        <v>5710.6405385189182</v>
      </c>
      <c r="M88" s="422">
        <f>Master!N62</f>
        <v>6458.0972655946935</v>
      </c>
      <c r="N88" s="422">
        <f>Master!O62</f>
        <v>7617.3169950807678</v>
      </c>
      <c r="O88" s="79"/>
      <c r="P88" s="360">
        <v>-92.500000000000114</v>
      </c>
      <c r="Q88" s="360">
        <v>-171.50000000000006</v>
      </c>
      <c r="R88" s="360">
        <v>-214.94339199656861</v>
      </c>
      <c r="S88" s="360">
        <v>-233.71563606526092</v>
      </c>
      <c r="T88" s="360">
        <v>492.9756271102608</v>
      </c>
      <c r="U88" s="360">
        <v>1003.4656751774349</v>
      </c>
      <c r="V88" s="360">
        <v>1369.8442369996803</v>
      </c>
      <c r="W88" s="360">
        <v>1727.174390585853</v>
      </c>
      <c r="X88" s="360">
        <v>2121.7394455738549</v>
      </c>
      <c r="Y88" s="360">
        <v>2509.2282299103122</v>
      </c>
      <c r="Z88" s="360">
        <v>2956.2958777530857</v>
      </c>
      <c r="AA88" s="360">
        <v>3462.787256225045</v>
      </c>
      <c r="AE88" s="361">
        <f t="shared" si="39"/>
        <v>-0.22583881991284382</v>
      </c>
      <c r="AF88" s="361">
        <f t="shared" si="27"/>
        <v>0.55671655574814416</v>
      </c>
      <c r="AG88" s="361">
        <f t="shared" si="28"/>
        <v>1.0954382796879232</v>
      </c>
      <c r="AH88" s="361">
        <f t="shared" si="29"/>
        <v>0.93461480891304927</v>
      </c>
      <c r="AI88" s="361">
        <f t="shared" si="30"/>
        <v>1.0581484119969691</v>
      </c>
      <c r="AJ88" s="361">
        <f t="shared" si="31"/>
        <v>1.1789467626792427</v>
      </c>
      <c r="AK88" s="361">
        <f t="shared" si="32"/>
        <v>1.2707695785521178</v>
      </c>
      <c r="AL88" s="361">
        <f t="shared" si="33"/>
        <v>1.2758553687733039</v>
      </c>
      <c r="AM88" s="361">
        <f t="shared" si="34"/>
        <v>1.1845233131749757</v>
      </c>
      <c r="AN88" s="361">
        <f t="shared" si="35"/>
        <v>1.1997646495282477</v>
      </c>
    </row>
    <row r="89" spans="2:40" x14ac:dyDescent="0.6">
      <c r="B89" s="77" t="s">
        <v>477</v>
      </c>
      <c r="C89" s="373">
        <f>Master!D63</f>
        <v>-0.15111909818657104</v>
      </c>
      <c r="D89" s="373">
        <f>Master!E63</f>
        <v>-0.23266856600189925</v>
      </c>
      <c r="E89" s="373">
        <f>Master!F63</f>
        <v>-9.8058413612415074E-2</v>
      </c>
      <c r="F89" s="373">
        <f>Master!G63</f>
        <v>-7.5953238412574356E-2</v>
      </c>
      <c r="G89" s="373">
        <f>Master!H63</f>
        <v>0.12867463876432486</v>
      </c>
      <c r="H89" s="373">
        <f>Master!I63</f>
        <v>0.16234944159086198</v>
      </c>
      <c r="I89" s="373">
        <f>Master!J63</f>
        <v>0.18494932994475785</v>
      </c>
      <c r="J89" s="373">
        <f>Master!K63</f>
        <v>0.20113540396367868</v>
      </c>
      <c r="K89" s="373">
        <f>Master!L63</f>
        <v>0.22065438547145416</v>
      </c>
      <c r="L89" s="373">
        <f>Master!M63</f>
        <v>0.23218397264439899</v>
      </c>
      <c r="M89" s="373">
        <f>Master!N63</f>
        <v>0.23718825366483173</v>
      </c>
      <c r="N89" s="373">
        <f>Master!O63</f>
        <v>0.25033172204322718</v>
      </c>
      <c r="O89" s="79"/>
      <c r="P89" s="352">
        <v>-0.15111909818657104</v>
      </c>
      <c r="Q89" s="352">
        <v>-0.23266856600189945</v>
      </c>
      <c r="R89" s="352">
        <v>-0.12539202765103116</v>
      </c>
      <c r="S89" s="352">
        <v>-6.7450694929011901E-2</v>
      </c>
      <c r="T89" s="352">
        <v>0.10192471995529306</v>
      </c>
      <c r="U89" s="352">
        <v>0.17260123911180877</v>
      </c>
      <c r="V89" s="352">
        <v>0.20221760459618593</v>
      </c>
      <c r="W89" s="352">
        <v>0.22031415827869466</v>
      </c>
      <c r="X89" s="352">
        <v>0.2392396770874072</v>
      </c>
      <c r="Y89" s="352">
        <v>0.25393065345171967</v>
      </c>
      <c r="Z89" s="352">
        <v>0.26876053312887932</v>
      </c>
      <c r="AA89" s="352">
        <v>0.28343781848981042</v>
      </c>
    </row>
    <row r="90" spans="2:40" x14ac:dyDescent="0.6">
      <c r="B90" s="79"/>
      <c r="C90" s="79"/>
      <c r="D90" s="79"/>
      <c r="E90" s="79"/>
      <c r="F90" s="79"/>
      <c r="G90" s="79"/>
      <c r="H90" s="79"/>
      <c r="I90" s="79"/>
      <c r="J90" s="79"/>
      <c r="K90" s="79"/>
      <c r="L90" s="79"/>
      <c r="M90" s="79"/>
      <c r="N90" s="79"/>
      <c r="O90" s="79"/>
    </row>
    <row r="91" spans="2:40" x14ac:dyDescent="0.6">
      <c r="B91" s="79"/>
      <c r="C91" s="79"/>
      <c r="D91" s="79"/>
      <c r="E91" s="79"/>
      <c r="F91" s="79"/>
      <c r="G91" s="79"/>
      <c r="H91" s="79"/>
      <c r="I91" s="79"/>
      <c r="J91" s="79"/>
      <c r="K91" s="79"/>
      <c r="L91" s="79"/>
      <c r="M91" s="79"/>
      <c r="N91" s="79"/>
      <c r="O91" s="79"/>
    </row>
    <row r="92" spans="2:40" x14ac:dyDescent="0.6">
      <c r="B92" s="387" t="s">
        <v>748</v>
      </c>
      <c r="C92" s="79"/>
      <c r="D92" s="79"/>
      <c r="E92" s="79"/>
      <c r="F92" s="79"/>
      <c r="G92" s="79"/>
      <c r="H92" s="79"/>
      <c r="I92" s="79"/>
      <c r="J92" s="79"/>
      <c r="K92" s="79"/>
      <c r="L92" s="79"/>
      <c r="M92" s="79"/>
      <c r="N92" s="79"/>
      <c r="O92" s="79"/>
    </row>
    <row r="93" spans="2:40" x14ac:dyDescent="0.6">
      <c r="B93" s="387"/>
      <c r="C93" s="79"/>
      <c r="D93" s="79"/>
      <c r="E93" s="79"/>
      <c r="F93" s="79"/>
      <c r="G93" s="79"/>
      <c r="H93" s="79"/>
      <c r="I93" s="79"/>
      <c r="J93" s="79"/>
      <c r="K93" s="79"/>
      <c r="L93" s="79"/>
      <c r="M93" s="79"/>
      <c r="N93" s="79"/>
      <c r="O93" s="79"/>
    </row>
    <row r="94" spans="2:40" x14ac:dyDescent="0.6">
      <c r="B94" s="128" t="s">
        <v>361</v>
      </c>
      <c r="C94" s="191">
        <v>2019</v>
      </c>
      <c r="D94" s="191">
        <v>2020</v>
      </c>
      <c r="E94" s="191" t="s">
        <v>761</v>
      </c>
      <c r="F94" s="191" t="s">
        <v>762</v>
      </c>
      <c r="G94" s="191">
        <v>2022</v>
      </c>
      <c r="H94" s="191">
        <v>2023</v>
      </c>
      <c r="I94" s="191">
        <v>2024</v>
      </c>
      <c r="J94" s="191">
        <v>2025</v>
      </c>
      <c r="K94" s="191">
        <v>2026</v>
      </c>
      <c r="L94" s="191">
        <v>2027</v>
      </c>
      <c r="M94" s="191">
        <v>2028</v>
      </c>
      <c r="N94" s="191">
        <v>2029</v>
      </c>
      <c r="O94" s="191">
        <v>2030</v>
      </c>
    </row>
    <row r="95" spans="2:40" x14ac:dyDescent="0.6">
      <c r="B95" s="431" t="s">
        <v>749</v>
      </c>
      <c r="C95" s="371"/>
      <c r="D95" s="371"/>
      <c r="E95" s="371"/>
      <c r="F95" s="388"/>
      <c r="G95" s="371"/>
      <c r="H95" s="371"/>
      <c r="I95" s="371"/>
      <c r="J95" s="371"/>
      <c r="K95" s="371"/>
      <c r="L95" s="371"/>
      <c r="M95" s="371"/>
      <c r="N95" s="371"/>
      <c r="O95" s="371"/>
    </row>
    <row r="96" spans="2:40" x14ac:dyDescent="0.6">
      <c r="B96" s="390" t="s">
        <v>791</v>
      </c>
      <c r="C96" s="80"/>
      <c r="D96" s="80">
        <f t="shared" ref="D96:O96" si="40">D155</f>
        <v>818.47499999999991</v>
      </c>
      <c r="E96" s="80">
        <f t="shared" si="40"/>
        <v>1355.0249999999999</v>
      </c>
      <c r="F96" s="80">
        <f t="shared" si="40"/>
        <v>2864.91</v>
      </c>
      <c r="G96" s="80">
        <f t="shared" si="40"/>
        <v>4933.9617257609043</v>
      </c>
      <c r="H96" s="80">
        <f t="shared" si="40"/>
        <v>7439.596849701913</v>
      </c>
      <c r="I96" s="80">
        <f t="shared" si="40"/>
        <v>8279.7608282234669</v>
      </c>
      <c r="J96" s="80">
        <f t="shared" si="40"/>
        <v>10482.084950932101</v>
      </c>
      <c r="K96" s="80">
        <f t="shared" si="40"/>
        <v>13067.722180553796</v>
      </c>
      <c r="L96" s="80">
        <f t="shared" si="40"/>
        <v>15534.809229768834</v>
      </c>
      <c r="M96" s="80">
        <f t="shared" si="40"/>
        <v>17929.699238153331</v>
      </c>
      <c r="N96" s="80">
        <f t="shared" si="40"/>
        <v>20296.447953951414</v>
      </c>
      <c r="O96" s="80">
        <f t="shared" si="40"/>
        <v>22770.364360200489</v>
      </c>
    </row>
    <row r="97" spans="2:15" x14ac:dyDescent="0.6">
      <c r="B97" s="389" t="s">
        <v>792</v>
      </c>
      <c r="C97" s="78"/>
      <c r="D97" s="78">
        <v>0</v>
      </c>
      <c r="E97" s="78">
        <v>0</v>
      </c>
      <c r="F97" s="78">
        <f>F176</f>
        <v>532.05471428571445</v>
      </c>
      <c r="G97" s="78">
        <f>G176</f>
        <v>916.30717764131077</v>
      </c>
      <c r="H97" s="78">
        <f t="shared" ref="H97:O97" si="41">H176</f>
        <v>1381.6394149446414</v>
      </c>
      <c r="I97" s="78">
        <f t="shared" si="41"/>
        <v>1537.6698680986447</v>
      </c>
      <c r="J97" s="78">
        <f t="shared" si="41"/>
        <v>1946.6729194588197</v>
      </c>
      <c r="K97" s="78">
        <f t="shared" si="41"/>
        <v>2426.8626906742766</v>
      </c>
      <c r="L97" s="78">
        <f t="shared" si="41"/>
        <v>2885.0359998142121</v>
      </c>
      <c r="M97" s="78">
        <f t="shared" si="41"/>
        <v>3329.8012870856196</v>
      </c>
      <c r="N97" s="78">
        <f t="shared" si="41"/>
        <v>3769.3403343052632</v>
      </c>
      <c r="O97" s="78">
        <f t="shared" si="41"/>
        <v>4228.7819526086632</v>
      </c>
    </row>
    <row r="98" spans="2:15" x14ac:dyDescent="0.6">
      <c r="B98" s="432" t="s">
        <v>750</v>
      </c>
      <c r="C98" s="310"/>
      <c r="D98" s="310">
        <f>75%*(200.904)</f>
        <v>150.678</v>
      </c>
      <c r="E98" s="310">
        <f>75%*(1392.35)</f>
        <v>1044.2624999999998</v>
      </c>
      <c r="F98" s="310">
        <f>75%*(1392.35)</f>
        <v>1044.2624999999998</v>
      </c>
      <c r="G98" s="310">
        <f>75%*Master!G194</f>
        <v>1254.75</v>
      </c>
      <c r="H98" s="310">
        <f>75%*Master!H194</f>
        <v>2401.5</v>
      </c>
      <c r="I98" s="310">
        <f>75%*Master!I194</f>
        <v>3836.6966664841711</v>
      </c>
      <c r="J98" s="310">
        <f>75%*Master!J194</f>
        <v>5340.1147059461518</v>
      </c>
      <c r="K98" s="310">
        <f>75%*Master!K194</f>
        <v>6956.7088025786961</v>
      </c>
      <c r="L98" s="310">
        <f>75%*Master!L194</f>
        <v>8846.1436617857362</v>
      </c>
      <c r="M98" s="310">
        <f>75%*Master!M194</f>
        <v>10792.190570208433</v>
      </c>
      <c r="N98" s="310">
        <f>75%*Master!N194</f>
        <v>12395.182828977157</v>
      </c>
      <c r="O98" s="310">
        <f>75%*Master!O194</f>
        <v>13943.99323076538</v>
      </c>
    </row>
    <row r="99" spans="2:15" x14ac:dyDescent="0.6">
      <c r="B99" s="77" t="s">
        <v>813</v>
      </c>
      <c r="C99" s="78"/>
      <c r="D99" s="78">
        <v>372.84100000000001</v>
      </c>
      <c r="E99" s="78">
        <v>1891</v>
      </c>
      <c r="F99" s="78">
        <f t="shared" ref="F99:O99" si="42">SUM(F96:F98)</f>
        <v>4441.2272142857146</v>
      </c>
      <c r="G99" s="78">
        <f t="shared" si="42"/>
        <v>7105.0189034022151</v>
      </c>
      <c r="H99" s="78">
        <f t="shared" si="42"/>
        <v>11222.736264646555</v>
      </c>
      <c r="I99" s="78">
        <f t="shared" si="42"/>
        <v>13654.127362806283</v>
      </c>
      <c r="J99" s="78">
        <f t="shared" si="42"/>
        <v>17768.872576337071</v>
      </c>
      <c r="K99" s="78">
        <f t="shared" si="42"/>
        <v>22451.293673806766</v>
      </c>
      <c r="L99" s="78">
        <f t="shared" si="42"/>
        <v>27265.988891368783</v>
      </c>
      <c r="M99" s="78">
        <f t="shared" si="42"/>
        <v>32051.691095447382</v>
      </c>
      <c r="N99" s="78">
        <f t="shared" si="42"/>
        <v>36460.971117233836</v>
      </c>
      <c r="O99" s="78">
        <f t="shared" si="42"/>
        <v>40943.139543574536</v>
      </c>
    </row>
    <row r="100" spans="2:15" x14ac:dyDescent="0.6">
      <c r="B100" s="79"/>
      <c r="C100" s="80"/>
      <c r="D100" s="80"/>
      <c r="E100" s="80"/>
      <c r="F100" s="80"/>
      <c r="G100" s="80"/>
      <c r="H100" s="80"/>
      <c r="I100" s="80"/>
      <c r="J100" s="80"/>
      <c r="K100" s="80"/>
      <c r="L100" s="80"/>
      <c r="M100" s="80"/>
      <c r="N100" s="80"/>
      <c r="O100" s="80"/>
    </row>
    <row r="101" spans="2:15" x14ac:dyDescent="0.6">
      <c r="B101" s="431" t="s">
        <v>751</v>
      </c>
      <c r="C101" s="371"/>
      <c r="D101" s="371"/>
      <c r="E101" s="371"/>
      <c r="F101" s="371"/>
      <c r="G101" s="371"/>
      <c r="H101" s="371"/>
      <c r="I101" s="371"/>
      <c r="J101" s="371"/>
      <c r="K101" s="371"/>
      <c r="L101" s="371"/>
      <c r="M101" s="371"/>
      <c r="N101" s="371"/>
      <c r="O101" s="371"/>
    </row>
    <row r="102" spans="2:15" x14ac:dyDescent="0.6">
      <c r="B102" s="390" t="s">
        <v>752</v>
      </c>
      <c r="C102" s="80"/>
      <c r="D102" s="80">
        <f>1%*D103</f>
        <v>10.72</v>
      </c>
      <c r="E102" s="80">
        <f t="shared" ref="E102:O102" si="43">1%*E103</f>
        <v>16.93</v>
      </c>
      <c r="F102" s="80">
        <f t="shared" si="43"/>
        <v>16.93</v>
      </c>
      <c r="G102" s="80">
        <f t="shared" si="43"/>
        <v>27.683990359252327</v>
      </c>
      <c r="H102" s="80">
        <f t="shared" si="43"/>
        <v>41.489208982859743</v>
      </c>
      <c r="I102" s="80">
        <f t="shared" si="43"/>
        <v>52.688034298378973</v>
      </c>
      <c r="J102" s="80">
        <f t="shared" si="43"/>
        <v>68.567156312508246</v>
      </c>
      <c r="K102" s="80">
        <f t="shared" si="43"/>
        <v>82.357773867294171</v>
      </c>
      <c r="L102" s="80">
        <f t="shared" si="43"/>
        <v>97.598207278819217</v>
      </c>
      <c r="M102" s="80">
        <f t="shared" si="43"/>
        <v>113.35090038347076</v>
      </c>
      <c r="N102" s="80">
        <f t="shared" si="43"/>
        <v>128.92380731681922</v>
      </c>
      <c r="O102" s="80">
        <f t="shared" si="43"/>
        <v>145.33828475679118</v>
      </c>
    </row>
    <row r="103" spans="2:15" x14ac:dyDescent="0.6">
      <c r="B103" s="433" t="s">
        <v>755</v>
      </c>
      <c r="C103" s="78"/>
      <c r="D103" s="78">
        <v>1072</v>
      </c>
      <c r="E103" s="78">
        <v>1693</v>
      </c>
      <c r="F103" s="78">
        <v>1693</v>
      </c>
      <c r="G103" s="78">
        <f>E103*(Master!G212/Master!F212)</f>
        <v>2768.3990359252325</v>
      </c>
      <c r="H103" s="78">
        <f>G103*(Master!H212/Master!G212)</f>
        <v>4148.9208982859745</v>
      </c>
      <c r="I103" s="78">
        <f>H103*(Master!I212/Master!H212)</f>
        <v>5268.8034298378971</v>
      </c>
      <c r="J103" s="78">
        <f>I103*(Master!J212/Master!I212)</f>
        <v>6856.715631250825</v>
      </c>
      <c r="K103" s="78">
        <f>J103*(Master!K212/Master!J212)</f>
        <v>8235.7773867294163</v>
      </c>
      <c r="L103" s="78">
        <f>K103*(Master!L212/Master!K212)</f>
        <v>9759.8207278819209</v>
      </c>
      <c r="M103" s="78">
        <f>L103*(Master!M212/Master!L212)</f>
        <v>11335.090038347076</v>
      </c>
      <c r="N103" s="78">
        <f>M103*(Master!N212/Master!M212)</f>
        <v>12892.380731681922</v>
      </c>
      <c r="O103" s="78">
        <f>N103*(Master!O212/Master!N212)</f>
        <v>14533.828475679118</v>
      </c>
    </row>
    <row r="104" spans="2:15" x14ac:dyDescent="0.6">
      <c r="B104" s="390" t="s">
        <v>753</v>
      </c>
      <c r="C104" s="80"/>
      <c r="D104" s="154">
        <f>0.2%*D105</f>
        <v>3.0764</v>
      </c>
      <c r="E104" s="154">
        <f>0.2%*E105</f>
        <v>4.9741999999999997</v>
      </c>
      <c r="F104" s="154">
        <f>0.2%*F105</f>
        <v>4.9741999999999997</v>
      </c>
      <c r="G104" s="154">
        <f>0.2%*G105</f>
        <v>12.830428954423596</v>
      </c>
      <c r="H104" s="154">
        <f t="shared" ref="H104:O104" si="44">0.2%*H105</f>
        <v>17.313773517926869</v>
      </c>
      <c r="I104" s="154">
        <f t="shared" si="44"/>
        <v>22.270215146666668</v>
      </c>
      <c r="J104" s="154">
        <f t="shared" si="44"/>
        <v>28.293522412661883</v>
      </c>
      <c r="K104" s="154">
        <f t="shared" si="44"/>
        <v>33.952226895194258</v>
      </c>
      <c r="L104" s="154">
        <f t="shared" si="44"/>
        <v>40.459737050106497</v>
      </c>
      <c r="M104" s="154">
        <f t="shared" si="44"/>
        <v>44.50571075511715</v>
      </c>
      <c r="N104" s="154">
        <f t="shared" si="44"/>
        <v>48.956281830628875</v>
      </c>
      <c r="O104" s="154">
        <f t="shared" si="44"/>
        <v>53.851910013691764</v>
      </c>
    </row>
    <row r="105" spans="2:15" x14ac:dyDescent="0.6">
      <c r="B105" s="434" t="s">
        <v>754</v>
      </c>
      <c r="C105" s="435"/>
      <c r="D105" s="435">
        <v>1538.2</v>
      </c>
      <c r="E105" s="435">
        <v>2487.1</v>
      </c>
      <c r="F105" s="435">
        <v>2487.1</v>
      </c>
      <c r="G105" s="435">
        <f>Drivers!G210/12*1000</f>
        <v>6415.2144772117981</v>
      </c>
      <c r="H105" s="435">
        <f>Drivers!H210/12*1000</f>
        <v>8656.8867589634337</v>
      </c>
      <c r="I105" s="435">
        <f>Drivers!I210/12*1000</f>
        <v>11135.107573333335</v>
      </c>
      <c r="J105" s="435">
        <f>Drivers!J210/12*1000</f>
        <v>14146.761206330941</v>
      </c>
      <c r="K105" s="435">
        <f>Drivers!K210/12*1000</f>
        <v>16976.11344759713</v>
      </c>
      <c r="L105" s="435">
        <f>Drivers!L210/12*1000</f>
        <v>20229.868525053247</v>
      </c>
      <c r="M105" s="435">
        <f>Drivers!M210/12*1000</f>
        <v>22252.855377558575</v>
      </c>
      <c r="N105" s="435">
        <f>Drivers!N210/12*1000</f>
        <v>24478.140915314438</v>
      </c>
      <c r="O105" s="435">
        <f>Drivers!O210/12*1000</f>
        <v>26925.955006845881</v>
      </c>
    </row>
    <row r="106" spans="2:15" x14ac:dyDescent="0.6">
      <c r="B106" s="79" t="s">
        <v>814</v>
      </c>
      <c r="C106" s="80"/>
      <c r="D106" s="80">
        <f>D104+D102</f>
        <v>13.7964</v>
      </c>
      <c r="E106" s="80">
        <v>0</v>
      </c>
      <c r="F106" s="80">
        <f>(F104+F102)/8%</f>
        <v>273.80250000000001</v>
      </c>
      <c r="G106" s="80">
        <f t="shared" ref="G106:O106" si="45">(G104+G102)/8%</f>
        <v>506.43024142094902</v>
      </c>
      <c r="H106" s="80">
        <f t="shared" si="45"/>
        <v>735.03728125983264</v>
      </c>
      <c r="I106" s="80">
        <f t="shared" si="45"/>
        <v>936.9781180630705</v>
      </c>
      <c r="J106" s="80">
        <f t="shared" si="45"/>
        <v>1210.7584840646266</v>
      </c>
      <c r="K106" s="80">
        <f t="shared" si="45"/>
        <v>1453.8750095311054</v>
      </c>
      <c r="L106" s="80">
        <f t="shared" si="45"/>
        <v>1725.7243041115714</v>
      </c>
      <c r="M106" s="80">
        <f t="shared" si="45"/>
        <v>1973.2076392323488</v>
      </c>
      <c r="N106" s="80">
        <f t="shared" si="45"/>
        <v>2223.5011143431011</v>
      </c>
      <c r="O106" s="80">
        <f t="shared" si="45"/>
        <v>2489.877434631037</v>
      </c>
    </row>
    <row r="107" spans="2:15" x14ac:dyDescent="0.6">
      <c r="B107" s="431" t="s">
        <v>790</v>
      </c>
      <c r="C107" s="371"/>
      <c r="D107" s="371"/>
      <c r="E107" s="371"/>
      <c r="F107" s="371"/>
      <c r="G107" s="371"/>
      <c r="H107" s="371"/>
      <c r="I107" s="371"/>
      <c r="J107" s="371"/>
      <c r="K107" s="371"/>
      <c r="L107" s="371"/>
      <c r="M107" s="371"/>
      <c r="N107" s="371"/>
      <c r="O107" s="371"/>
    </row>
    <row r="108" spans="2:15" x14ac:dyDescent="0.6">
      <c r="B108" s="79" t="s">
        <v>815</v>
      </c>
      <c r="C108" s="80"/>
      <c r="D108" s="80">
        <v>6.3E-2</v>
      </c>
      <c r="E108" s="80">
        <v>14.824999999999999</v>
      </c>
      <c r="F108" s="80">
        <v>14.824999999999999</v>
      </c>
      <c r="G108" s="80">
        <f>E108*(1+G109)</f>
        <v>29.65</v>
      </c>
      <c r="H108" s="80">
        <f t="shared" ref="H108:O108" si="46">G108*(1+H109)</f>
        <v>44.474999999999994</v>
      </c>
      <c r="I108" s="80">
        <f t="shared" si="46"/>
        <v>66.712499999999991</v>
      </c>
      <c r="J108" s="80">
        <f t="shared" si="46"/>
        <v>100.06874999999999</v>
      </c>
      <c r="K108" s="80">
        <f t="shared" si="46"/>
        <v>120.08249999999998</v>
      </c>
      <c r="L108" s="80">
        <f t="shared" si="46"/>
        <v>144.09899999999996</v>
      </c>
      <c r="M108" s="80">
        <f t="shared" si="46"/>
        <v>172.91879999999995</v>
      </c>
      <c r="N108" s="80">
        <f t="shared" si="46"/>
        <v>207.50255999999993</v>
      </c>
      <c r="O108" s="80">
        <f t="shared" si="46"/>
        <v>249.00307199999992</v>
      </c>
    </row>
    <row r="109" spans="2:15" x14ac:dyDescent="0.6">
      <c r="B109" s="400" t="s">
        <v>756</v>
      </c>
      <c r="C109" s="436"/>
      <c r="D109" s="436"/>
      <c r="E109" s="214"/>
      <c r="F109" s="214">
        <f>F108/E108-1</f>
        <v>0</v>
      </c>
      <c r="G109" s="214">
        <v>1</v>
      </c>
      <c r="H109" s="214">
        <v>0.5</v>
      </c>
      <c r="I109" s="214">
        <v>0.5</v>
      </c>
      <c r="J109" s="214">
        <v>0.5</v>
      </c>
      <c r="K109" s="214">
        <v>0.2</v>
      </c>
      <c r="L109" s="214">
        <v>0.2</v>
      </c>
      <c r="M109" s="214">
        <v>0.2</v>
      </c>
      <c r="N109" s="214">
        <v>0.2</v>
      </c>
      <c r="O109" s="214">
        <v>0.2</v>
      </c>
    </row>
    <row r="110" spans="2:15" x14ac:dyDescent="0.6">
      <c r="B110" s="437" t="s">
        <v>789</v>
      </c>
      <c r="C110" s="82"/>
      <c r="D110" s="82"/>
      <c r="E110" s="82"/>
      <c r="F110" s="82"/>
      <c r="G110" s="82"/>
      <c r="H110" s="82"/>
      <c r="I110" s="82"/>
      <c r="J110" s="82"/>
      <c r="K110" s="82"/>
      <c r="L110" s="82"/>
      <c r="M110" s="82"/>
      <c r="N110" s="82"/>
      <c r="O110" s="82"/>
    </row>
    <row r="111" spans="2:15" x14ac:dyDescent="0.6">
      <c r="B111" s="77" t="s">
        <v>816</v>
      </c>
      <c r="C111" s="78"/>
      <c r="D111" s="78">
        <v>15.442</v>
      </c>
      <c r="E111" s="78">
        <v>238.49700000000001</v>
      </c>
      <c r="F111" s="78">
        <v>238.49700000000001</v>
      </c>
      <c r="G111" s="78">
        <f>E111*(1+G112)</f>
        <v>476.99400000000003</v>
      </c>
      <c r="H111" s="78">
        <f t="shared" ref="H111:O111" si="47">G111*(1+H112)</f>
        <v>715.49099999999999</v>
      </c>
      <c r="I111" s="78">
        <f t="shared" si="47"/>
        <v>1073.2365</v>
      </c>
      <c r="J111" s="78">
        <f t="shared" si="47"/>
        <v>1609.85475</v>
      </c>
      <c r="K111" s="78">
        <f t="shared" si="47"/>
        <v>1931.8256999999999</v>
      </c>
      <c r="L111" s="78">
        <f t="shared" si="47"/>
        <v>2318.1908399999998</v>
      </c>
      <c r="M111" s="78">
        <f t="shared" si="47"/>
        <v>2781.8290079999997</v>
      </c>
      <c r="N111" s="78">
        <f t="shared" si="47"/>
        <v>3338.1948095999996</v>
      </c>
      <c r="O111" s="78">
        <f t="shared" si="47"/>
        <v>4005.8337715199996</v>
      </c>
    </row>
    <row r="112" spans="2:15" x14ac:dyDescent="0.6">
      <c r="B112" s="438" t="s">
        <v>756</v>
      </c>
      <c r="C112" s="439"/>
      <c r="D112" s="439"/>
      <c r="E112" s="392"/>
      <c r="F112" s="392">
        <f>F111/E111-1</f>
        <v>0</v>
      </c>
      <c r="G112" s="392">
        <v>1</v>
      </c>
      <c r="H112" s="392">
        <v>0.5</v>
      </c>
      <c r="I112" s="392">
        <v>0.5</v>
      </c>
      <c r="J112" s="392">
        <v>0.5</v>
      </c>
      <c r="K112" s="392">
        <v>0.2</v>
      </c>
      <c r="L112" s="392">
        <v>0.2</v>
      </c>
      <c r="M112" s="392">
        <v>0.2</v>
      </c>
      <c r="N112" s="392">
        <v>0.2</v>
      </c>
      <c r="O112" s="392">
        <v>0.2</v>
      </c>
    </row>
    <row r="113" spans="2:34" x14ac:dyDescent="0.6">
      <c r="B113" s="77"/>
      <c r="C113" s="77"/>
      <c r="D113" s="77"/>
      <c r="E113" s="77"/>
      <c r="F113" s="77"/>
      <c r="G113" s="77"/>
      <c r="H113" s="77"/>
      <c r="I113" s="77"/>
      <c r="J113" s="77"/>
      <c r="K113" s="77"/>
      <c r="L113" s="77"/>
      <c r="M113" s="77"/>
      <c r="N113" s="77"/>
      <c r="O113" s="77"/>
    </row>
    <row r="114" spans="2:34" x14ac:dyDescent="0.6">
      <c r="B114" s="76" t="s">
        <v>817</v>
      </c>
      <c r="C114" s="460"/>
      <c r="D114" s="460">
        <f t="shared" ref="D114:O114" si="48">D111+D108+D106+D99</f>
        <v>402.14240000000001</v>
      </c>
      <c r="E114" s="460">
        <f t="shared" si="48"/>
        <v>2144.3220000000001</v>
      </c>
      <c r="F114" s="460">
        <f t="shared" si="48"/>
        <v>4968.3517142857145</v>
      </c>
      <c r="G114" s="460">
        <f>G111+G108+G106+G99</f>
        <v>8118.093144823164</v>
      </c>
      <c r="H114" s="460">
        <f t="shared" si="48"/>
        <v>12717.739545906388</v>
      </c>
      <c r="I114" s="460">
        <f t="shared" si="48"/>
        <v>15731.054480869352</v>
      </c>
      <c r="J114" s="460">
        <f t="shared" si="48"/>
        <v>20689.554560401699</v>
      </c>
      <c r="K114" s="460">
        <f t="shared" si="48"/>
        <v>25957.076883337872</v>
      </c>
      <c r="L114" s="460">
        <f t="shared" si="48"/>
        <v>31454.003035480353</v>
      </c>
      <c r="M114" s="460">
        <f t="shared" si="48"/>
        <v>36979.646542679729</v>
      </c>
      <c r="N114" s="460">
        <f t="shared" si="48"/>
        <v>42230.169601176938</v>
      </c>
      <c r="O114" s="460">
        <f t="shared" si="48"/>
        <v>47687.85382172557</v>
      </c>
    </row>
    <row r="115" spans="2:34" x14ac:dyDescent="0.6">
      <c r="B115" s="77"/>
      <c r="C115" s="141"/>
      <c r="D115" s="141"/>
      <c r="E115" s="141"/>
      <c r="F115" s="141"/>
      <c r="G115" s="141"/>
      <c r="H115" s="141"/>
      <c r="I115" s="141"/>
      <c r="J115" s="141"/>
      <c r="K115" s="141"/>
      <c r="L115" s="141"/>
      <c r="M115" s="141"/>
      <c r="N115" s="141"/>
      <c r="O115" s="141"/>
    </row>
    <row r="116" spans="2:34" x14ac:dyDescent="0.6">
      <c r="B116" s="79" t="s">
        <v>760</v>
      </c>
      <c r="C116" s="143"/>
      <c r="D116" s="143">
        <f>D127+D125</f>
        <v>118.61199999999999</v>
      </c>
      <c r="E116" s="143">
        <f>E127+E125</f>
        <v>485.49300000000005</v>
      </c>
      <c r="F116" s="143">
        <v>282.8</v>
      </c>
      <c r="G116" s="143"/>
      <c r="H116" s="143"/>
      <c r="I116" s="143"/>
      <c r="J116" s="143"/>
      <c r="K116" s="143"/>
      <c r="L116" s="143"/>
      <c r="M116" s="143"/>
      <c r="N116" s="143"/>
      <c r="O116" s="143"/>
      <c r="AE116" t="s">
        <v>821</v>
      </c>
      <c r="AF116">
        <v>570</v>
      </c>
    </row>
    <row r="117" spans="2:34" x14ac:dyDescent="0.6">
      <c r="B117" s="77"/>
      <c r="C117" s="141"/>
      <c r="D117" s="141"/>
      <c r="E117" s="141"/>
      <c r="F117" s="141"/>
      <c r="G117" s="141"/>
      <c r="H117" s="141"/>
      <c r="I117" s="141"/>
      <c r="J117" s="141"/>
      <c r="K117" s="141"/>
      <c r="L117" s="141"/>
      <c r="M117" s="141"/>
      <c r="N117" s="141"/>
      <c r="O117" s="141"/>
      <c r="AF117" t="s">
        <v>822</v>
      </c>
    </row>
    <row r="118" spans="2:34" x14ac:dyDescent="0.6">
      <c r="B118" s="79" t="s">
        <v>772</v>
      </c>
      <c r="C118" s="143"/>
      <c r="D118" s="407">
        <f>D116/D114</f>
        <v>0.29495024647985391</v>
      </c>
      <c r="E118" s="407">
        <f>E116/E114</f>
        <v>0.22640862706254006</v>
      </c>
      <c r="F118" s="407">
        <f>F116/F114</f>
        <v>5.6920285894183589E-2</v>
      </c>
      <c r="G118" s="143"/>
      <c r="H118" s="143"/>
      <c r="I118" s="143"/>
      <c r="J118" s="143"/>
      <c r="K118" s="143"/>
      <c r="L118" s="143"/>
      <c r="M118" s="143"/>
      <c r="N118" s="143"/>
      <c r="O118" s="143"/>
      <c r="AF118" t="s">
        <v>823</v>
      </c>
      <c r="AH118">
        <v>72.337000000000003</v>
      </c>
    </row>
    <row r="119" spans="2:34" x14ac:dyDescent="0.6">
      <c r="B119" s="77"/>
      <c r="C119" s="141"/>
      <c r="D119" s="141"/>
      <c r="E119" s="141"/>
      <c r="F119" s="141"/>
      <c r="G119" s="141"/>
      <c r="H119" s="141"/>
      <c r="I119" s="141"/>
      <c r="J119" s="141"/>
      <c r="K119" s="141"/>
      <c r="L119" s="141"/>
      <c r="M119" s="141"/>
      <c r="N119" s="141"/>
      <c r="O119" s="141"/>
      <c r="AF119" t="s">
        <v>824</v>
      </c>
    </row>
    <row r="120" spans="2:34" x14ac:dyDescent="0.6">
      <c r="B120" s="79" t="s">
        <v>788</v>
      </c>
      <c r="C120" s="143"/>
      <c r="D120" s="143">
        <f t="shared" ref="D120:O120" si="49">14%*D114</f>
        <v>56.29993600000001</v>
      </c>
      <c r="E120" s="143">
        <f t="shared" si="49"/>
        <v>300.20508000000007</v>
      </c>
      <c r="F120" s="143">
        <f>14%*F114</f>
        <v>695.56924000000015</v>
      </c>
      <c r="G120" s="143">
        <f t="shared" si="49"/>
        <v>1136.5330402752431</v>
      </c>
      <c r="H120" s="143">
        <f t="shared" si="49"/>
        <v>1780.4835364268945</v>
      </c>
      <c r="I120" s="143">
        <f t="shared" si="49"/>
        <v>2202.3476273217093</v>
      </c>
      <c r="J120" s="143">
        <f t="shared" si="49"/>
        <v>2896.5376384562383</v>
      </c>
      <c r="K120" s="143">
        <f t="shared" si="49"/>
        <v>3633.9907636673024</v>
      </c>
      <c r="L120" s="143">
        <f t="shared" si="49"/>
        <v>4403.5604249672497</v>
      </c>
      <c r="M120" s="143">
        <f t="shared" si="49"/>
        <v>5177.1505159751623</v>
      </c>
      <c r="N120" s="143">
        <f t="shared" si="49"/>
        <v>5912.2237441647721</v>
      </c>
      <c r="O120" s="143">
        <f t="shared" si="49"/>
        <v>6676.2995350415804</v>
      </c>
    </row>
    <row r="121" spans="2:34" ht="15.9" thickBot="1" x14ac:dyDescent="0.65">
      <c r="B121" s="77"/>
      <c r="C121" s="77"/>
      <c r="D121" s="77"/>
      <c r="E121" s="77"/>
      <c r="F121" s="77"/>
      <c r="G121" s="77"/>
      <c r="H121" s="77"/>
      <c r="I121" s="77"/>
      <c r="J121" s="77"/>
      <c r="K121" s="77"/>
      <c r="L121" s="77"/>
      <c r="M121" s="77"/>
      <c r="N121" s="77"/>
      <c r="O121" s="77"/>
    </row>
    <row r="122" spans="2:34" ht="15.9" thickBot="1" x14ac:dyDescent="0.65">
      <c r="B122" s="81" t="s">
        <v>773</v>
      </c>
      <c r="C122" s="429"/>
      <c r="D122" s="460">
        <f t="shared" ref="D122:O122" si="50">D116-D120</f>
        <v>62.312063999999985</v>
      </c>
      <c r="E122" s="460">
        <f t="shared" si="50"/>
        <v>185.28791999999999</v>
      </c>
      <c r="F122" s="465">
        <f t="shared" si="50"/>
        <v>-412.76924000000014</v>
      </c>
      <c r="G122" s="460">
        <f t="shared" si="50"/>
        <v>-1136.5330402752431</v>
      </c>
      <c r="H122" s="460">
        <f t="shared" si="50"/>
        <v>-1780.4835364268945</v>
      </c>
      <c r="I122" s="460">
        <f t="shared" si="50"/>
        <v>-2202.3476273217093</v>
      </c>
      <c r="J122" s="460">
        <f t="shared" si="50"/>
        <v>-2896.5376384562383</v>
      </c>
      <c r="K122" s="460">
        <f t="shared" si="50"/>
        <v>-3633.9907636673024</v>
      </c>
      <c r="L122" s="460">
        <f t="shared" si="50"/>
        <v>-4403.5604249672497</v>
      </c>
      <c r="M122" s="460">
        <f t="shared" si="50"/>
        <v>-5177.1505159751623</v>
      </c>
      <c r="N122" s="460">
        <f t="shared" si="50"/>
        <v>-5912.2237441647721</v>
      </c>
      <c r="O122" s="460">
        <f t="shared" si="50"/>
        <v>-6676.2995350415804</v>
      </c>
    </row>
    <row r="123" spans="2:34" x14ac:dyDescent="0.6">
      <c r="B123" s="79"/>
      <c r="C123" s="80"/>
      <c r="D123" s="80"/>
      <c r="E123" s="80"/>
      <c r="F123" s="80"/>
      <c r="G123" s="80"/>
      <c r="H123" s="80"/>
      <c r="I123" s="80"/>
      <c r="J123" s="80"/>
      <c r="K123" s="80"/>
      <c r="L123" s="80"/>
      <c r="M123" s="80"/>
      <c r="N123" s="80"/>
      <c r="O123" s="80"/>
    </row>
    <row r="124" spans="2:34" x14ac:dyDescent="0.6">
      <c r="B124" s="77"/>
      <c r="C124" s="141"/>
      <c r="D124" s="141"/>
      <c r="E124" s="141"/>
      <c r="F124" s="141"/>
      <c r="G124" s="141"/>
      <c r="H124" s="141"/>
      <c r="I124" s="141"/>
      <c r="J124" s="141"/>
      <c r="K124" s="141"/>
      <c r="L124" s="141"/>
      <c r="M124" s="141"/>
      <c r="N124" s="141"/>
      <c r="O124" s="141"/>
    </row>
    <row r="125" spans="2:34" x14ac:dyDescent="0.6">
      <c r="B125" s="79" t="s">
        <v>532</v>
      </c>
      <c r="C125" s="143"/>
      <c r="D125" s="143">
        <v>101.229</v>
      </c>
      <c r="E125" s="143">
        <v>467.22</v>
      </c>
      <c r="F125" s="143">
        <v>467.22</v>
      </c>
      <c r="G125" s="143"/>
      <c r="H125" s="143"/>
      <c r="I125" s="143"/>
      <c r="J125" s="143"/>
      <c r="K125" s="143"/>
      <c r="L125" s="143"/>
      <c r="M125" s="143"/>
      <c r="N125" s="143"/>
      <c r="O125" s="143"/>
    </row>
    <row r="126" spans="2:34" x14ac:dyDescent="0.6">
      <c r="B126" s="389" t="s">
        <v>771</v>
      </c>
      <c r="C126" s="141"/>
      <c r="D126" s="141">
        <v>101.229</v>
      </c>
      <c r="E126" s="141">
        <v>467.22</v>
      </c>
      <c r="F126" s="141">
        <v>467.22</v>
      </c>
      <c r="G126" s="141"/>
      <c r="H126" s="141"/>
      <c r="I126" s="141"/>
      <c r="J126" s="141"/>
      <c r="K126" s="141"/>
      <c r="L126" s="141"/>
      <c r="M126" s="141"/>
      <c r="N126" s="141"/>
      <c r="O126" s="141"/>
    </row>
    <row r="127" spans="2:34" x14ac:dyDescent="0.6">
      <c r="B127" s="79" t="s">
        <v>770</v>
      </c>
      <c r="C127" s="143"/>
      <c r="D127" s="143">
        <v>17.382999999999999</v>
      </c>
      <c r="E127" s="143">
        <v>18.273</v>
      </c>
      <c r="F127" s="143">
        <v>18</v>
      </c>
      <c r="G127" s="143"/>
      <c r="H127" s="143"/>
      <c r="I127" s="143"/>
      <c r="J127" s="143"/>
      <c r="K127" s="143"/>
      <c r="L127" s="143"/>
      <c r="M127" s="143"/>
      <c r="N127" s="143"/>
      <c r="O127" s="143"/>
    </row>
    <row r="128" spans="2:34" x14ac:dyDescent="0.6">
      <c r="B128" s="77"/>
      <c r="C128" s="141"/>
      <c r="D128" s="141"/>
      <c r="E128" s="141"/>
      <c r="F128" s="141"/>
      <c r="G128" s="141"/>
      <c r="H128" s="141"/>
      <c r="I128" s="141"/>
      <c r="J128" s="141"/>
      <c r="K128" s="141"/>
      <c r="L128" s="141"/>
      <c r="M128" s="141"/>
      <c r="N128" s="141"/>
      <c r="O128" s="141"/>
    </row>
    <row r="129" spans="2:29" x14ac:dyDescent="0.6">
      <c r="B129" s="79"/>
      <c r="C129" s="79"/>
      <c r="D129" s="79"/>
      <c r="E129" s="79"/>
      <c r="F129" s="79"/>
      <c r="G129" s="79"/>
      <c r="H129" s="79"/>
      <c r="I129" s="79"/>
      <c r="J129" s="79"/>
      <c r="K129" s="79"/>
      <c r="L129" s="79"/>
      <c r="M129" s="79"/>
      <c r="N129" s="79"/>
      <c r="O129" s="79"/>
    </row>
    <row r="130" spans="2:29" x14ac:dyDescent="0.6">
      <c r="B130" s="77"/>
      <c r="C130" s="77"/>
      <c r="D130" s="77"/>
      <c r="E130" s="77"/>
      <c r="F130" s="77"/>
      <c r="G130" s="77"/>
      <c r="H130" s="77"/>
      <c r="I130" s="77"/>
      <c r="J130" s="77"/>
      <c r="K130" s="77"/>
      <c r="L130" s="77"/>
      <c r="M130" s="77"/>
      <c r="N130" s="77"/>
      <c r="O130" s="77"/>
    </row>
    <row r="131" spans="2:29" x14ac:dyDescent="0.6">
      <c r="B131" s="79" t="s">
        <v>787</v>
      </c>
      <c r="C131" s="143"/>
      <c r="D131" s="143">
        <f t="shared" ref="D131:O131" si="51">D114*10.5%</f>
        <v>42.224952000000002</v>
      </c>
      <c r="E131" s="143">
        <f t="shared" si="51"/>
        <v>225.15380999999999</v>
      </c>
      <c r="F131" s="143">
        <f t="shared" si="51"/>
        <v>521.67692999999997</v>
      </c>
      <c r="G131" s="143">
        <f t="shared" si="51"/>
        <v>852.39978020643218</v>
      </c>
      <c r="H131" s="143">
        <f t="shared" si="51"/>
        <v>1335.3626523201708</v>
      </c>
      <c r="I131" s="143">
        <f t="shared" si="51"/>
        <v>1651.760720491282</v>
      </c>
      <c r="J131" s="143">
        <f t="shared" si="51"/>
        <v>2172.4032288421781</v>
      </c>
      <c r="K131" s="143">
        <f t="shared" si="51"/>
        <v>2725.4930727504766</v>
      </c>
      <c r="L131" s="143">
        <f t="shared" si="51"/>
        <v>3302.670318725437</v>
      </c>
      <c r="M131" s="143">
        <f t="shared" si="51"/>
        <v>3882.8628869813715</v>
      </c>
      <c r="N131" s="143">
        <f t="shared" si="51"/>
        <v>4434.1678081235787</v>
      </c>
      <c r="O131" s="143">
        <f t="shared" si="51"/>
        <v>5007.2246512811844</v>
      </c>
    </row>
    <row r="132" spans="2:29" x14ac:dyDescent="0.6">
      <c r="B132" s="77"/>
      <c r="C132" s="141"/>
      <c r="D132" s="141"/>
      <c r="E132" s="141"/>
      <c r="F132" s="141"/>
      <c r="G132" s="141"/>
      <c r="H132" s="141"/>
      <c r="I132" s="141"/>
      <c r="J132" s="141"/>
      <c r="K132" s="141"/>
      <c r="L132" s="141"/>
      <c r="M132" s="141"/>
      <c r="N132" s="141"/>
      <c r="O132" s="141"/>
    </row>
    <row r="133" spans="2:29" x14ac:dyDescent="0.6">
      <c r="B133" s="79"/>
      <c r="C133" s="79"/>
      <c r="D133" s="79"/>
      <c r="E133" s="79"/>
      <c r="F133" s="79"/>
      <c r="G133" s="79"/>
      <c r="H133" s="79"/>
      <c r="I133" s="79"/>
      <c r="J133" s="79"/>
      <c r="K133" s="79"/>
      <c r="L133" s="79"/>
      <c r="M133" s="79"/>
      <c r="N133" s="79"/>
      <c r="O133" s="79"/>
    </row>
    <row r="134" spans="2:29" x14ac:dyDescent="0.6">
      <c r="B134" s="128" t="s">
        <v>361</v>
      </c>
      <c r="C134" s="128">
        <v>2019</v>
      </c>
      <c r="D134" s="129">
        <v>2020</v>
      </c>
      <c r="E134" s="129" t="s">
        <v>761</v>
      </c>
      <c r="F134" s="129" t="s">
        <v>762</v>
      </c>
      <c r="G134" s="129">
        <v>2022</v>
      </c>
      <c r="H134" s="129">
        <v>2023</v>
      </c>
      <c r="I134" s="129">
        <v>2024</v>
      </c>
      <c r="J134" s="129">
        <v>2025</v>
      </c>
      <c r="K134" s="129">
        <v>2026</v>
      </c>
      <c r="L134" s="129">
        <v>2027</v>
      </c>
      <c r="M134" s="129">
        <v>2028</v>
      </c>
      <c r="N134" s="129">
        <v>2029</v>
      </c>
      <c r="O134" s="129">
        <v>2030</v>
      </c>
    </row>
    <row r="135" spans="2:29" x14ac:dyDescent="0.6">
      <c r="B135" s="77" t="s">
        <v>763</v>
      </c>
      <c r="C135" s="141"/>
      <c r="D135" s="78">
        <v>500</v>
      </c>
      <c r="E135" s="78">
        <v>2000</v>
      </c>
      <c r="F135" s="78">
        <v>2000</v>
      </c>
      <c r="G135" s="78">
        <f>G136+G138+G140</f>
        <v>3059.7020750967472</v>
      </c>
      <c r="H135" s="78">
        <f t="shared" ref="H135:O135" si="52">H136+H138+H140</f>
        <v>5292.9169877627864</v>
      </c>
      <c r="I135" s="78">
        <f t="shared" si="52"/>
        <v>7442.6426951097274</v>
      </c>
      <c r="J135" s="78">
        <f t="shared" si="52"/>
        <v>10066.168691020173</v>
      </c>
      <c r="K135" s="78">
        <f t="shared" si="52"/>
        <v>12948.327187714247</v>
      </c>
      <c r="L135" s="78">
        <f t="shared" si="52"/>
        <v>16160.954548135775</v>
      </c>
      <c r="M135" s="78">
        <f t="shared" si="52"/>
        <v>19428.773484994806</v>
      </c>
      <c r="N135" s="78">
        <f t="shared" si="52"/>
        <v>22231.277042837435</v>
      </c>
      <c r="O135" s="78">
        <f t="shared" si="52"/>
        <v>24991.657867620936</v>
      </c>
    </row>
    <row r="136" spans="2:29" x14ac:dyDescent="0.6">
      <c r="B136" s="390" t="s">
        <v>764</v>
      </c>
      <c r="C136" s="143"/>
      <c r="D136" s="80">
        <v>96.557333333333347</v>
      </c>
      <c r="E136" s="80">
        <f>E135-E140-E138</f>
        <v>468.19000000000005</v>
      </c>
      <c r="F136" s="80">
        <f>F135-F140-F138</f>
        <v>468.19000000000005</v>
      </c>
      <c r="G136" s="80">
        <f>G137*Master!G$193</f>
        <v>806.31906076770224</v>
      </c>
      <c r="H136" s="80">
        <f>H137*Master!H$193</f>
        <v>1215.79555695011</v>
      </c>
      <c r="I136" s="80">
        <f>I137*Master!I$193</f>
        <v>1353.0970334725857</v>
      </c>
      <c r="J136" s="80">
        <f>J137*Master!J$193</f>
        <v>1713.0057674331485</v>
      </c>
      <c r="K136" s="80">
        <f>K137*Master!K$193</f>
        <v>2135.5563866625766</v>
      </c>
      <c r="L136" s="80">
        <f>L137*Master!L$193</f>
        <v>2538.7332702547278</v>
      </c>
      <c r="M136" s="80">
        <f>M137*Master!M$193</f>
        <v>2930.1115519548644</v>
      </c>
      <c r="N136" s="80">
        <f>N137*Master!N$193</f>
        <v>3316.8909206783155</v>
      </c>
      <c r="O136" s="80">
        <f>O137*Master!O$193</f>
        <v>3721.1838730718478</v>
      </c>
    </row>
    <row r="137" spans="2:29" x14ac:dyDescent="0.6">
      <c r="B137" s="440" t="s">
        <v>766</v>
      </c>
      <c r="C137" s="141"/>
      <c r="D137" s="214">
        <f>D136/Master!E$193</f>
        <v>3.3193761673943188E-2</v>
      </c>
      <c r="E137" s="214">
        <f>E136/Master!F$193</f>
        <v>9.7937454241188174E-2</v>
      </c>
      <c r="F137" s="214">
        <f>F136/Master!F$193</f>
        <v>9.7937454241188174E-2</v>
      </c>
      <c r="G137" s="386">
        <f>F137</f>
        <v>9.7937454241188174E-2</v>
      </c>
      <c r="H137" s="386">
        <f t="shared" ref="H137:O139" si="53">G137</f>
        <v>9.7937454241188174E-2</v>
      </c>
      <c r="I137" s="386">
        <f t="shared" si="53"/>
        <v>9.7937454241188174E-2</v>
      </c>
      <c r="J137" s="386">
        <f t="shared" si="53"/>
        <v>9.7937454241188174E-2</v>
      </c>
      <c r="K137" s="386">
        <f t="shared" si="53"/>
        <v>9.7937454241188174E-2</v>
      </c>
      <c r="L137" s="386">
        <f t="shared" si="53"/>
        <v>9.7937454241188174E-2</v>
      </c>
      <c r="M137" s="386">
        <f t="shared" si="53"/>
        <v>9.7937454241188174E-2</v>
      </c>
      <c r="N137" s="386">
        <f t="shared" si="53"/>
        <v>9.7937454241188174E-2</v>
      </c>
      <c r="O137" s="386">
        <f t="shared" si="53"/>
        <v>9.7937454241188174E-2</v>
      </c>
    </row>
    <row r="138" spans="2:29" x14ac:dyDescent="0.6">
      <c r="B138" s="390" t="s">
        <v>765</v>
      </c>
      <c r="C138" s="143"/>
      <c r="D138" s="80">
        <v>199.66</v>
      </c>
      <c r="E138" s="80">
        <v>337</v>
      </c>
      <c r="F138" s="80">
        <v>337</v>
      </c>
      <c r="G138" s="80">
        <f>G139*Master!G$193</f>
        <v>580.38301432904507</v>
      </c>
      <c r="H138" s="80">
        <f>H139*Master!H$193</f>
        <v>875.12143081267652</v>
      </c>
      <c r="I138" s="80">
        <f>I139*Master!I$193</f>
        <v>973.95010632491369</v>
      </c>
      <c r="J138" s="80">
        <f>J139*Master!J$193</f>
        <v>1233.0099823254898</v>
      </c>
      <c r="K138" s="80">
        <f>K139*Master!K$193</f>
        <v>1537.159064280075</v>
      </c>
      <c r="L138" s="80">
        <f>L139*Master!L$193</f>
        <v>1827.3630621667339</v>
      </c>
      <c r="M138" s="80">
        <f>M139*Master!M$193</f>
        <v>2109.0745060953655</v>
      </c>
      <c r="N138" s="80">
        <f>N139*Master!N$193</f>
        <v>2387.4756835229123</v>
      </c>
      <c r="O138" s="80">
        <f>O139*Master!O$193</f>
        <v>2678.4830201952468</v>
      </c>
    </row>
    <row r="139" spans="2:29" x14ac:dyDescent="0.6">
      <c r="B139" s="440" t="s">
        <v>766</v>
      </c>
      <c r="C139" s="141"/>
      <c r="D139" s="214">
        <f>D138/Master!E$193</f>
        <v>6.863762934442573E-2</v>
      </c>
      <c r="E139" s="214">
        <f>E138/Master!F$193</f>
        <v>7.0494718125719072E-2</v>
      </c>
      <c r="F139" s="214">
        <f>F138/Master!F$193</f>
        <v>7.0494718125719072E-2</v>
      </c>
      <c r="G139" s="386">
        <f>F139</f>
        <v>7.0494718125719072E-2</v>
      </c>
      <c r="H139" s="386">
        <f t="shared" si="53"/>
        <v>7.0494718125719072E-2</v>
      </c>
      <c r="I139" s="386">
        <f t="shared" si="53"/>
        <v>7.0494718125719072E-2</v>
      </c>
      <c r="J139" s="386">
        <f t="shared" si="53"/>
        <v>7.0494718125719072E-2</v>
      </c>
      <c r="K139" s="386">
        <f t="shared" si="53"/>
        <v>7.0494718125719072E-2</v>
      </c>
      <c r="L139" s="386">
        <f t="shared" si="53"/>
        <v>7.0494718125719072E-2</v>
      </c>
      <c r="M139" s="386">
        <f t="shared" si="53"/>
        <v>7.0494718125719072E-2</v>
      </c>
      <c r="N139" s="386">
        <f t="shared" si="53"/>
        <v>7.0494718125719072E-2</v>
      </c>
      <c r="O139" s="386">
        <f t="shared" si="53"/>
        <v>7.0494718125719072E-2</v>
      </c>
    </row>
    <row r="140" spans="2:29" x14ac:dyDescent="0.6">
      <c r="B140" s="432" t="s">
        <v>750</v>
      </c>
      <c r="C140" s="310">
        <f>Master!D194</f>
        <v>58</v>
      </c>
      <c r="D140" s="310">
        <f>Master!E194</f>
        <v>202.32558139534882</v>
      </c>
      <c r="E140" s="310">
        <f>Master!F194</f>
        <v>1194.81</v>
      </c>
      <c r="F140" s="310">
        <f>Master!F194</f>
        <v>1194.81</v>
      </c>
      <c r="G140" s="310">
        <f>Master!G194</f>
        <v>1673</v>
      </c>
      <c r="H140" s="310">
        <f>Master!H194</f>
        <v>3202</v>
      </c>
      <c r="I140" s="310">
        <f>Master!I194</f>
        <v>5115.5955553122285</v>
      </c>
      <c r="J140" s="310">
        <f>Master!J194</f>
        <v>7120.1529412615355</v>
      </c>
      <c r="K140" s="310">
        <f>Master!K194</f>
        <v>9275.6117367715942</v>
      </c>
      <c r="L140" s="310">
        <f>Master!L194</f>
        <v>11794.858215714314</v>
      </c>
      <c r="M140" s="310">
        <f>Master!M194</f>
        <v>14389.587426944578</v>
      </c>
      <c r="N140" s="310">
        <f>Master!N194</f>
        <v>16526.910438636209</v>
      </c>
      <c r="O140" s="310">
        <f>Master!O194</f>
        <v>18591.990974353841</v>
      </c>
    </row>
    <row r="141" spans="2:29" s="420" customFormat="1" x14ac:dyDescent="0.6">
      <c r="B141" s="441"/>
      <c r="C141" s="442"/>
      <c r="D141" s="442"/>
      <c r="E141" s="442"/>
      <c r="F141" s="442"/>
      <c r="G141" s="442"/>
      <c r="H141" s="442"/>
      <c r="I141" s="442"/>
      <c r="J141" s="442"/>
      <c r="K141" s="442"/>
      <c r="L141" s="442"/>
      <c r="M141" s="442"/>
      <c r="N141" s="442"/>
      <c r="O141" s="442"/>
    </row>
    <row r="142" spans="2:29" s="420" customFormat="1" x14ac:dyDescent="0.6">
      <c r="B142" s="458" t="s">
        <v>808</v>
      </c>
      <c r="C142" s="442"/>
      <c r="D142" s="442"/>
      <c r="E142" s="442"/>
      <c r="F142" s="442"/>
      <c r="G142" s="442"/>
      <c r="H142" s="442"/>
      <c r="I142" s="442"/>
      <c r="J142" s="442"/>
      <c r="K142" s="442"/>
      <c r="L142" s="442"/>
      <c r="M142" s="442"/>
      <c r="N142" s="442"/>
      <c r="O142" s="442"/>
    </row>
    <row r="143" spans="2:29" x14ac:dyDescent="0.6">
      <c r="B143" s="128" t="s">
        <v>416</v>
      </c>
      <c r="C143" s="128">
        <v>2019</v>
      </c>
      <c r="D143" s="129">
        <v>2020</v>
      </c>
      <c r="E143" s="129" t="s">
        <v>761</v>
      </c>
      <c r="F143" s="129" t="s">
        <v>762</v>
      </c>
      <c r="G143" s="129">
        <v>2022</v>
      </c>
      <c r="H143" s="129">
        <v>2023</v>
      </c>
      <c r="I143" s="129">
        <v>2024</v>
      </c>
      <c r="J143" s="129">
        <v>2025</v>
      </c>
      <c r="K143" s="129">
        <v>2026</v>
      </c>
      <c r="L143" s="129">
        <v>2027</v>
      </c>
      <c r="M143" s="129">
        <v>2028</v>
      </c>
      <c r="N143" s="129">
        <v>2029</v>
      </c>
      <c r="O143" s="129">
        <v>2030</v>
      </c>
      <c r="P143" s="421"/>
      <c r="Q143" s="421"/>
      <c r="R143" s="421"/>
      <c r="S143" s="421"/>
      <c r="T143" s="421"/>
      <c r="U143" s="421"/>
      <c r="V143" s="421"/>
      <c r="W143" s="421"/>
      <c r="X143" s="421"/>
      <c r="Y143" s="421"/>
      <c r="Z143" s="421"/>
      <c r="AA143" s="421"/>
      <c r="AB143" s="421"/>
      <c r="AC143" s="421"/>
    </row>
    <row r="144" spans="2:29" x14ac:dyDescent="0.6">
      <c r="B144" s="77" t="s">
        <v>781</v>
      </c>
      <c r="C144" s="77"/>
      <c r="D144" s="78">
        <v>3118</v>
      </c>
      <c r="E144" s="78">
        <v>5162</v>
      </c>
      <c r="F144" s="78">
        <v>5162</v>
      </c>
      <c r="G144" s="78">
        <f t="shared" ref="G144:O144" si="54">G159</f>
        <v>8890.0211274971243</v>
      </c>
      <c r="H144" s="78">
        <f t="shared" si="54"/>
        <v>13404.679008471918</v>
      </c>
      <c r="I144" s="78">
        <f t="shared" si="54"/>
        <v>14918.487978781022</v>
      </c>
      <c r="J144" s="78">
        <f t="shared" si="54"/>
        <v>18886.639551229015</v>
      </c>
      <c r="K144" s="78">
        <f t="shared" si="54"/>
        <v>23545.445370367201</v>
      </c>
      <c r="L144" s="78">
        <f t="shared" si="54"/>
        <v>27990.647260844748</v>
      </c>
      <c r="M144" s="78">
        <f t="shared" si="54"/>
        <v>32305.764393069068</v>
      </c>
      <c r="N144" s="78">
        <f t="shared" si="54"/>
        <v>36570.176493606152</v>
      </c>
      <c r="O144" s="78">
        <f t="shared" si="54"/>
        <v>41027.683531892777</v>
      </c>
      <c r="P144" s="421"/>
      <c r="Q144" s="421"/>
      <c r="R144" s="421"/>
      <c r="S144" s="421"/>
      <c r="T144" s="421"/>
      <c r="U144" s="421"/>
      <c r="V144" s="421"/>
      <c r="W144" s="421"/>
      <c r="X144" s="421"/>
      <c r="Y144" s="421"/>
      <c r="Z144" s="421"/>
      <c r="AA144" s="421"/>
      <c r="AB144" s="421"/>
      <c r="AC144" s="421"/>
    </row>
    <row r="145" spans="2:35" x14ac:dyDescent="0.6">
      <c r="B145" s="79" t="s">
        <v>780</v>
      </c>
      <c r="C145" s="143"/>
      <c r="D145" s="80">
        <f>D146*D144</f>
        <v>2026.7</v>
      </c>
      <c r="E145" s="80">
        <f>E146*E144</f>
        <v>3355.3</v>
      </c>
      <c r="F145" s="80">
        <f t="shared" ref="F145:O145" si="55">F146*F144</f>
        <v>3355.3</v>
      </c>
      <c r="G145" s="80">
        <f t="shared" si="55"/>
        <v>5778.5137328731307</v>
      </c>
      <c r="H145" s="80">
        <f t="shared" si="55"/>
        <v>8713.0413555067462</v>
      </c>
      <c r="I145" s="80">
        <f t="shared" si="55"/>
        <v>9697.0171862076641</v>
      </c>
      <c r="J145" s="80">
        <f t="shared" si="55"/>
        <v>12276.31570829886</v>
      </c>
      <c r="K145" s="80">
        <f t="shared" si="55"/>
        <v>15304.539490738682</v>
      </c>
      <c r="L145" s="80">
        <f t="shared" si="55"/>
        <v>18193.920719549085</v>
      </c>
      <c r="M145" s="80">
        <f t="shared" si="55"/>
        <v>20998.746855494894</v>
      </c>
      <c r="N145" s="80">
        <f t="shared" si="55"/>
        <v>23770.614720843998</v>
      </c>
      <c r="O145" s="80">
        <f t="shared" si="55"/>
        <v>26667.994295730306</v>
      </c>
      <c r="P145" s="421"/>
      <c r="Q145" s="421"/>
      <c r="R145" s="421"/>
      <c r="S145" s="421"/>
      <c r="T145" s="421"/>
      <c r="U145" s="421"/>
      <c r="V145" s="421"/>
      <c r="W145" s="421"/>
      <c r="X145" s="421"/>
      <c r="Y145" s="421"/>
      <c r="Z145" s="421"/>
      <c r="AA145" s="421"/>
      <c r="AB145" s="421"/>
      <c r="AC145" s="421"/>
      <c r="AE145" t="s">
        <v>820</v>
      </c>
    </row>
    <row r="146" spans="2:35" ht="15.9" thickBot="1" x14ac:dyDescent="0.65">
      <c r="B146" s="400" t="s">
        <v>825</v>
      </c>
      <c r="C146" s="141"/>
      <c r="D146" s="214">
        <v>0.65</v>
      </c>
      <c r="E146" s="214">
        <v>0.65</v>
      </c>
      <c r="F146" s="214">
        <v>0.65</v>
      </c>
      <c r="G146" s="214">
        <v>0.65</v>
      </c>
      <c r="H146" s="214">
        <v>0.65</v>
      </c>
      <c r="I146" s="214">
        <v>0.65</v>
      </c>
      <c r="J146" s="214">
        <v>0.65</v>
      </c>
      <c r="K146" s="214">
        <v>0.65</v>
      </c>
      <c r="L146" s="214">
        <v>0.65</v>
      </c>
      <c r="M146" s="214">
        <v>0.65</v>
      </c>
      <c r="N146" s="214">
        <v>0.65</v>
      </c>
      <c r="O146" s="214">
        <v>0.65</v>
      </c>
      <c r="P146" s="421"/>
      <c r="Q146" s="421"/>
      <c r="R146" s="421"/>
      <c r="S146" s="421"/>
      <c r="T146" s="421"/>
      <c r="U146" s="421"/>
      <c r="V146" s="421"/>
      <c r="W146" s="421"/>
      <c r="X146" s="421"/>
      <c r="Y146" s="421"/>
      <c r="Z146" s="421"/>
      <c r="AA146" s="421"/>
      <c r="AB146" s="421"/>
      <c r="AC146" s="421"/>
    </row>
    <row r="147" spans="2:35" x14ac:dyDescent="0.6">
      <c r="B147" s="446" t="s">
        <v>785</v>
      </c>
      <c r="C147" s="143"/>
      <c r="D147" s="392">
        <v>0</v>
      </c>
      <c r="E147" s="463">
        <v>0</v>
      </c>
      <c r="F147" s="464">
        <v>0.45</v>
      </c>
      <c r="G147" s="392">
        <v>0.45</v>
      </c>
      <c r="H147" s="392">
        <v>0.45</v>
      </c>
      <c r="I147" s="392">
        <v>0.45</v>
      </c>
      <c r="J147" s="392">
        <v>0.45</v>
      </c>
      <c r="K147" s="392">
        <v>0.45</v>
      </c>
      <c r="L147" s="392">
        <v>0.45</v>
      </c>
      <c r="M147" s="392">
        <v>0.45</v>
      </c>
      <c r="N147" s="392">
        <v>0.45</v>
      </c>
      <c r="O147" s="392">
        <v>0.45</v>
      </c>
      <c r="P147" s="421"/>
      <c r="Q147" s="421"/>
      <c r="R147" s="421"/>
      <c r="S147" s="421"/>
      <c r="T147" s="421"/>
      <c r="U147" s="421"/>
      <c r="V147" s="421"/>
      <c r="W147" s="421"/>
      <c r="X147" s="421"/>
      <c r="Y147" s="421"/>
      <c r="Z147" s="421"/>
      <c r="AA147" s="421"/>
      <c r="AB147" s="421"/>
      <c r="AC147" s="421"/>
      <c r="AI147">
        <v>5200</v>
      </c>
    </row>
    <row r="148" spans="2:35" ht="15.9" thickBot="1" x14ac:dyDescent="0.65">
      <c r="B148" s="445" t="s">
        <v>828</v>
      </c>
      <c r="C148" s="141"/>
      <c r="D148" s="78">
        <f t="shared" ref="D148:O148" si="56">D147*D145</f>
        <v>0</v>
      </c>
      <c r="E148" s="461">
        <f t="shared" si="56"/>
        <v>0</v>
      </c>
      <c r="F148" s="462">
        <f t="shared" si="56"/>
        <v>1509.8850000000002</v>
      </c>
      <c r="G148" s="78">
        <f t="shared" si="56"/>
        <v>2600.3311797929091</v>
      </c>
      <c r="H148" s="78">
        <f t="shared" si="56"/>
        <v>3920.8686099780357</v>
      </c>
      <c r="I148" s="78">
        <f t="shared" si="56"/>
        <v>4363.6577337934486</v>
      </c>
      <c r="J148" s="78">
        <f t="shared" si="56"/>
        <v>5524.3420687344869</v>
      </c>
      <c r="K148" s="78">
        <f t="shared" si="56"/>
        <v>6887.0427708324069</v>
      </c>
      <c r="L148" s="78">
        <f t="shared" si="56"/>
        <v>8187.2643237970888</v>
      </c>
      <c r="M148" s="78">
        <f t="shared" si="56"/>
        <v>9449.4360849727018</v>
      </c>
      <c r="N148" s="78">
        <f t="shared" si="56"/>
        <v>10696.7766243798</v>
      </c>
      <c r="O148" s="78">
        <f t="shared" si="56"/>
        <v>12000.597433078638</v>
      </c>
      <c r="P148" s="421"/>
      <c r="Q148" s="421"/>
      <c r="R148" s="421"/>
      <c r="S148" s="421"/>
      <c r="T148" s="421"/>
      <c r="U148" s="421"/>
      <c r="V148" s="421"/>
      <c r="W148" s="421"/>
      <c r="X148" s="421"/>
      <c r="Y148" s="421"/>
      <c r="Z148" s="421"/>
      <c r="AA148" s="421"/>
      <c r="AB148" s="421"/>
      <c r="AC148" s="421"/>
      <c r="AI148" s="234">
        <v>0.65</v>
      </c>
    </row>
    <row r="149" spans="2:35" x14ac:dyDescent="0.6">
      <c r="B149" s="446"/>
      <c r="C149" s="143"/>
      <c r="D149" s="80"/>
      <c r="E149" s="80"/>
      <c r="F149" s="80"/>
      <c r="G149" s="80"/>
      <c r="H149" s="80"/>
      <c r="I149" s="80"/>
      <c r="J149" s="80"/>
      <c r="K149" s="80"/>
      <c r="L149" s="80"/>
      <c r="M149" s="80"/>
      <c r="N149" s="80"/>
      <c r="O149" s="80"/>
      <c r="P149" s="421"/>
      <c r="Q149" s="421"/>
      <c r="R149" s="421"/>
      <c r="S149" s="421"/>
      <c r="T149" s="421"/>
      <c r="U149" s="421"/>
      <c r="V149" s="421"/>
      <c r="W149" s="421"/>
      <c r="X149" s="421"/>
      <c r="Y149" s="421"/>
      <c r="Z149" s="421"/>
      <c r="AA149" s="421"/>
      <c r="AB149" s="421"/>
      <c r="AC149" s="421"/>
      <c r="AI149" s="234">
        <v>0.35</v>
      </c>
    </row>
    <row r="150" spans="2:35" x14ac:dyDescent="0.6">
      <c r="B150" s="445" t="s">
        <v>782</v>
      </c>
      <c r="C150" s="141"/>
      <c r="D150" s="443">
        <f>D151*D144</f>
        <v>1091.3</v>
      </c>
      <c r="E150" s="443">
        <f>E151*E144</f>
        <v>1806.6999999999998</v>
      </c>
      <c r="F150" s="443">
        <f t="shared" ref="F150:O150" si="57">F151*F144</f>
        <v>1806.6999999999998</v>
      </c>
      <c r="G150" s="443">
        <f t="shared" si="57"/>
        <v>3111.5073946239932</v>
      </c>
      <c r="H150" s="443">
        <f t="shared" si="57"/>
        <v>4691.6376529651707</v>
      </c>
      <c r="I150" s="443">
        <f t="shared" si="57"/>
        <v>5221.4707925733574</v>
      </c>
      <c r="J150" s="443">
        <f t="shared" si="57"/>
        <v>6610.3238429301546</v>
      </c>
      <c r="K150" s="443">
        <f t="shared" si="57"/>
        <v>8240.905879628519</v>
      </c>
      <c r="L150" s="443">
        <f t="shared" si="57"/>
        <v>9796.7265412956604</v>
      </c>
      <c r="M150" s="443">
        <f t="shared" si="57"/>
        <v>11307.017537574173</v>
      </c>
      <c r="N150" s="443">
        <f t="shared" si="57"/>
        <v>12799.561772762152</v>
      </c>
      <c r="O150" s="443">
        <f t="shared" si="57"/>
        <v>14359.68923616247</v>
      </c>
      <c r="P150" s="421"/>
      <c r="Q150" s="421"/>
      <c r="R150" s="421"/>
      <c r="S150" s="421"/>
      <c r="T150" s="421"/>
      <c r="U150" s="421"/>
      <c r="V150" s="421"/>
      <c r="W150" s="421"/>
      <c r="X150" s="421"/>
      <c r="Y150" s="421"/>
      <c r="Z150" s="421"/>
      <c r="AA150" s="421"/>
      <c r="AB150" s="421"/>
      <c r="AC150" s="421"/>
      <c r="AE150" t="s">
        <v>819</v>
      </c>
    </row>
    <row r="151" spans="2:35" x14ac:dyDescent="0.6">
      <c r="B151" s="438" t="s">
        <v>825</v>
      </c>
      <c r="C151" s="143"/>
      <c r="D151" s="392">
        <v>0.35</v>
      </c>
      <c r="E151" s="392">
        <v>0.35</v>
      </c>
      <c r="F151" s="392">
        <v>0.35</v>
      </c>
      <c r="G151" s="392">
        <v>0.35</v>
      </c>
      <c r="H151" s="392">
        <v>0.35</v>
      </c>
      <c r="I151" s="392">
        <v>0.35</v>
      </c>
      <c r="J151" s="392">
        <v>0.35</v>
      </c>
      <c r="K151" s="392">
        <v>0.35</v>
      </c>
      <c r="L151" s="392">
        <v>0.35</v>
      </c>
      <c r="M151" s="392">
        <v>0.35</v>
      </c>
      <c r="N151" s="392">
        <v>0.35</v>
      </c>
      <c r="O151" s="392">
        <v>0.35</v>
      </c>
      <c r="P151" s="421"/>
      <c r="Q151" s="421"/>
      <c r="R151" s="421"/>
      <c r="S151" s="421"/>
      <c r="T151" s="421"/>
      <c r="U151" s="421"/>
      <c r="V151" s="421"/>
      <c r="W151" s="421"/>
      <c r="X151" s="421"/>
      <c r="Y151" s="421"/>
      <c r="Z151" s="421"/>
      <c r="AA151" s="421"/>
      <c r="AB151" s="421"/>
      <c r="AC151" s="421"/>
      <c r="AH151">
        <f>AI147*AI148*AI151</f>
        <v>1521</v>
      </c>
      <c r="AI151" s="234">
        <v>0.45</v>
      </c>
    </row>
    <row r="152" spans="2:35" x14ac:dyDescent="0.6">
      <c r="B152" s="445" t="s">
        <v>783</v>
      </c>
      <c r="C152" s="141"/>
      <c r="D152" s="214">
        <v>0.75</v>
      </c>
      <c r="E152" s="214">
        <v>0.75</v>
      </c>
      <c r="F152" s="214">
        <v>0.75</v>
      </c>
      <c r="G152" s="214">
        <v>0.75</v>
      </c>
      <c r="H152" s="214">
        <v>0.75</v>
      </c>
      <c r="I152" s="214">
        <v>0.75</v>
      </c>
      <c r="J152" s="214">
        <v>0.75</v>
      </c>
      <c r="K152" s="214">
        <v>0.75</v>
      </c>
      <c r="L152" s="214">
        <v>0.75</v>
      </c>
      <c r="M152" s="214">
        <v>0.75</v>
      </c>
      <c r="N152" s="214">
        <v>0.75</v>
      </c>
      <c r="O152" s="214">
        <v>0.75</v>
      </c>
      <c r="P152" s="421"/>
      <c r="Q152" s="421"/>
      <c r="R152" s="421"/>
      <c r="S152" s="421"/>
      <c r="T152" s="421"/>
      <c r="U152" s="421"/>
      <c r="V152" s="421"/>
      <c r="W152" s="421"/>
      <c r="X152" s="421"/>
      <c r="Y152" s="421"/>
      <c r="Z152" s="421"/>
      <c r="AA152" s="421"/>
      <c r="AB152" s="421"/>
      <c r="AC152" s="421"/>
      <c r="AH152">
        <f>AI147*AI149*AI152</f>
        <v>1364.9999999999998</v>
      </c>
      <c r="AI152" s="234">
        <v>0.75</v>
      </c>
    </row>
    <row r="153" spans="2:35" x14ac:dyDescent="0.6">
      <c r="B153" s="446" t="s">
        <v>784</v>
      </c>
      <c r="C153" s="143"/>
      <c r="D153" s="80">
        <f t="shared" ref="D153:O153" si="58">D152*D150</f>
        <v>818.47499999999991</v>
      </c>
      <c r="E153" s="80">
        <f t="shared" si="58"/>
        <v>1355.0249999999999</v>
      </c>
      <c r="F153" s="80">
        <f t="shared" si="58"/>
        <v>1355.0249999999999</v>
      </c>
      <c r="G153" s="80">
        <f t="shared" si="58"/>
        <v>2333.6305459679947</v>
      </c>
      <c r="H153" s="80">
        <f t="shared" si="58"/>
        <v>3518.7282397238778</v>
      </c>
      <c r="I153" s="80">
        <f t="shared" si="58"/>
        <v>3916.1030944300182</v>
      </c>
      <c r="J153" s="80">
        <f t="shared" si="58"/>
        <v>4957.7428821976155</v>
      </c>
      <c r="K153" s="80">
        <f t="shared" si="58"/>
        <v>6180.6794097213897</v>
      </c>
      <c r="L153" s="80">
        <f t="shared" si="58"/>
        <v>7347.5449059717448</v>
      </c>
      <c r="M153" s="80">
        <f t="shared" si="58"/>
        <v>8480.2631531806292</v>
      </c>
      <c r="N153" s="80">
        <f t="shared" si="58"/>
        <v>9599.6713295716145</v>
      </c>
      <c r="O153" s="80">
        <f t="shared" si="58"/>
        <v>10769.766927121853</v>
      </c>
      <c r="P153" s="421"/>
      <c r="Q153" s="421"/>
      <c r="R153" s="421"/>
      <c r="S153" s="421"/>
      <c r="T153" s="421"/>
      <c r="U153" s="421"/>
      <c r="V153" s="421"/>
      <c r="W153" s="421"/>
      <c r="X153" s="421"/>
      <c r="Y153" s="421"/>
      <c r="Z153" s="421"/>
      <c r="AA153" s="421"/>
      <c r="AB153" s="421"/>
      <c r="AC153" s="421"/>
    </row>
    <row r="154" spans="2:35" ht="15.9" thickBot="1" x14ac:dyDescent="0.65">
      <c r="B154" s="445"/>
      <c r="C154" s="141"/>
      <c r="D154" s="443"/>
      <c r="E154" s="443"/>
      <c r="F154" s="443"/>
      <c r="G154" s="443"/>
      <c r="H154" s="443"/>
      <c r="I154" s="443"/>
      <c r="J154" s="443"/>
      <c r="K154" s="443"/>
      <c r="L154" s="443"/>
      <c r="M154" s="443"/>
      <c r="N154" s="443"/>
      <c r="O154" s="443"/>
      <c r="P154" s="421"/>
      <c r="Q154" s="421"/>
      <c r="R154" s="421"/>
      <c r="S154" s="421"/>
      <c r="T154" s="421"/>
      <c r="U154" s="421"/>
      <c r="V154" s="421"/>
      <c r="W154" s="421"/>
      <c r="X154" s="421"/>
      <c r="Y154" s="421"/>
      <c r="Z154" s="421"/>
      <c r="AA154" s="421"/>
      <c r="AB154" s="421"/>
      <c r="AC154" s="421"/>
    </row>
    <row r="155" spans="2:35" ht="15.9" thickBot="1" x14ac:dyDescent="0.65">
      <c r="B155" s="444" t="s">
        <v>786</v>
      </c>
      <c r="C155" s="81"/>
      <c r="D155" s="310">
        <f t="shared" ref="D155:O155" si="59">D148+D153</f>
        <v>818.47499999999991</v>
      </c>
      <c r="E155" s="448">
        <f t="shared" si="59"/>
        <v>1355.0249999999999</v>
      </c>
      <c r="F155" s="449">
        <f t="shared" si="59"/>
        <v>2864.91</v>
      </c>
      <c r="G155" s="310">
        <f t="shared" si="59"/>
        <v>4933.9617257609043</v>
      </c>
      <c r="H155" s="310">
        <f t="shared" si="59"/>
        <v>7439.596849701913</v>
      </c>
      <c r="I155" s="310">
        <f t="shared" si="59"/>
        <v>8279.7608282234669</v>
      </c>
      <c r="J155" s="310">
        <f t="shared" si="59"/>
        <v>10482.084950932101</v>
      </c>
      <c r="K155" s="310">
        <f t="shared" si="59"/>
        <v>13067.722180553796</v>
      </c>
      <c r="L155" s="310">
        <f t="shared" si="59"/>
        <v>15534.809229768834</v>
      </c>
      <c r="M155" s="310">
        <f t="shared" si="59"/>
        <v>17929.699238153331</v>
      </c>
      <c r="N155" s="310">
        <f t="shared" si="59"/>
        <v>20296.447953951414</v>
      </c>
      <c r="O155" s="310">
        <f t="shared" si="59"/>
        <v>22770.364360200489</v>
      </c>
    </row>
    <row r="157" spans="2:35" x14ac:dyDescent="0.6">
      <c r="B157" s="20" t="s">
        <v>809</v>
      </c>
      <c r="F157" s="86"/>
    </row>
    <row r="158" spans="2:35" x14ac:dyDescent="0.6">
      <c r="B158" s="128" t="s">
        <v>156</v>
      </c>
      <c r="C158" s="128">
        <v>2019</v>
      </c>
      <c r="D158" s="129">
        <v>2020</v>
      </c>
      <c r="E158" s="129" t="s">
        <v>761</v>
      </c>
      <c r="F158" s="129" t="s">
        <v>762</v>
      </c>
      <c r="G158" s="129">
        <v>2022</v>
      </c>
      <c r="H158" s="129">
        <v>2023</v>
      </c>
      <c r="I158" s="129">
        <v>2024</v>
      </c>
      <c r="J158" s="129">
        <v>2025</v>
      </c>
      <c r="K158" s="129">
        <v>2026</v>
      </c>
      <c r="L158" s="129">
        <v>2027</v>
      </c>
      <c r="M158" s="129">
        <v>2028</v>
      </c>
      <c r="N158" s="129">
        <v>2029</v>
      </c>
      <c r="O158" s="129">
        <v>2030</v>
      </c>
    </row>
    <row r="159" spans="2:35" x14ac:dyDescent="0.6">
      <c r="B159" s="77" t="s">
        <v>422</v>
      </c>
      <c r="C159" s="141"/>
      <c r="D159" s="78">
        <v>3118</v>
      </c>
      <c r="E159" s="78">
        <v>5162</v>
      </c>
      <c r="F159" s="78">
        <v>5162</v>
      </c>
      <c r="G159" s="78">
        <f>F159*(Master!G193/Master!F193)</f>
        <v>8890.0211274971243</v>
      </c>
      <c r="H159" s="78">
        <f>G159*(Master!H193/Master!G193)</f>
        <v>13404.679008471918</v>
      </c>
      <c r="I159" s="78">
        <f>H159*(Master!I193/Master!H193)</f>
        <v>14918.487978781022</v>
      </c>
      <c r="J159" s="78">
        <f>I159*(Master!J193/Master!I193)</f>
        <v>18886.639551229015</v>
      </c>
      <c r="K159" s="78">
        <f>J159*(Master!K193/Master!J193)</f>
        <v>23545.445370367201</v>
      </c>
      <c r="L159" s="78">
        <f>K159*(Master!L193/Master!K193)</f>
        <v>27990.647260844748</v>
      </c>
      <c r="M159" s="78">
        <f>L159*(Master!M193/Master!L193)</f>
        <v>32305.764393069068</v>
      </c>
      <c r="N159" s="78">
        <f>M159*(Master!N193/Master!M193)</f>
        <v>36570.176493606152</v>
      </c>
      <c r="O159" s="78">
        <f>N159*(Master!O193/Master!N193)</f>
        <v>41027.683531892777</v>
      </c>
    </row>
    <row r="160" spans="2:35" x14ac:dyDescent="0.6">
      <c r="B160" s="391" t="s">
        <v>768</v>
      </c>
      <c r="C160" s="143"/>
      <c r="D160" s="215">
        <v>0.35</v>
      </c>
      <c r="E160" s="215">
        <v>0.35</v>
      </c>
      <c r="F160" s="215">
        <v>0.35</v>
      </c>
      <c r="G160" s="215">
        <v>0.35</v>
      </c>
      <c r="H160" s="215">
        <v>0.35</v>
      </c>
      <c r="I160" s="215">
        <v>0.35</v>
      </c>
      <c r="J160" s="215">
        <v>0.35</v>
      </c>
      <c r="K160" s="215">
        <v>0.35</v>
      </c>
      <c r="L160" s="215">
        <v>0.35</v>
      </c>
      <c r="M160" s="215">
        <v>0.35</v>
      </c>
      <c r="N160" s="215">
        <v>0.35</v>
      </c>
      <c r="O160" s="215">
        <v>0.35</v>
      </c>
    </row>
    <row r="161" spans="2:38" x14ac:dyDescent="0.6">
      <c r="B161" s="456" t="s">
        <v>767</v>
      </c>
      <c r="C161" s="457"/>
      <c r="D161" s="459">
        <f t="shared" ref="D161:O161" si="60">D159/D160</f>
        <v>8908.5714285714294</v>
      </c>
      <c r="E161" s="459">
        <f t="shared" si="60"/>
        <v>14748.571428571429</v>
      </c>
      <c r="F161" s="459">
        <f t="shared" si="60"/>
        <v>14748.571428571429</v>
      </c>
      <c r="G161" s="459">
        <f t="shared" si="60"/>
        <v>25400.060364277499</v>
      </c>
      <c r="H161" s="459">
        <f t="shared" si="60"/>
        <v>38299.082881348339</v>
      </c>
      <c r="I161" s="459">
        <f t="shared" si="60"/>
        <v>42624.251367945784</v>
      </c>
      <c r="J161" s="459">
        <f t="shared" si="60"/>
        <v>53961.827289225759</v>
      </c>
      <c r="K161" s="459">
        <f t="shared" si="60"/>
        <v>67272.701058192004</v>
      </c>
      <c r="L161" s="459">
        <f t="shared" si="60"/>
        <v>79973.27788812785</v>
      </c>
      <c r="M161" s="459">
        <f t="shared" si="60"/>
        <v>92302.18398019734</v>
      </c>
      <c r="N161" s="459">
        <f t="shared" si="60"/>
        <v>104486.21855316043</v>
      </c>
      <c r="O161" s="459">
        <f t="shared" si="60"/>
        <v>117221.95294826508</v>
      </c>
    </row>
    <row r="162" spans="2:38" x14ac:dyDescent="0.6">
      <c r="B162" s="391" t="s">
        <v>807</v>
      </c>
      <c r="C162" s="143"/>
      <c r="D162" s="447">
        <f t="shared" ref="D162:O162" si="61">D161-D159</f>
        <v>5790.5714285714294</v>
      </c>
      <c r="E162" s="447">
        <f t="shared" si="61"/>
        <v>9586.5714285714294</v>
      </c>
      <c r="F162" s="447">
        <f t="shared" si="61"/>
        <v>9586.5714285714294</v>
      </c>
      <c r="G162" s="447">
        <f t="shared" si="61"/>
        <v>16510.039236780372</v>
      </c>
      <c r="H162" s="447">
        <f t="shared" si="61"/>
        <v>24894.403872876421</v>
      </c>
      <c r="I162" s="447">
        <f t="shared" si="61"/>
        <v>27705.763389164764</v>
      </c>
      <c r="J162" s="447">
        <f t="shared" si="61"/>
        <v>35075.187737996748</v>
      </c>
      <c r="K162" s="447">
        <f t="shared" si="61"/>
        <v>43727.2556878248</v>
      </c>
      <c r="L162" s="447">
        <f t="shared" si="61"/>
        <v>51982.630627283099</v>
      </c>
      <c r="M162" s="447">
        <f t="shared" si="61"/>
        <v>59996.419587128272</v>
      </c>
      <c r="N162" s="447">
        <f t="shared" si="61"/>
        <v>67916.042059554282</v>
      </c>
      <c r="O162" s="447">
        <f t="shared" si="61"/>
        <v>76194.269416372306</v>
      </c>
    </row>
    <row r="163" spans="2:38" x14ac:dyDescent="0.6">
      <c r="B163" s="431" t="s">
        <v>802</v>
      </c>
      <c r="C163" s="141"/>
      <c r="D163" s="443"/>
      <c r="E163" s="443"/>
      <c r="F163" s="443"/>
      <c r="G163" s="443"/>
      <c r="H163" s="443"/>
      <c r="I163" s="443"/>
      <c r="J163" s="443"/>
      <c r="K163" s="443"/>
      <c r="L163" s="443"/>
      <c r="M163" s="443"/>
      <c r="N163" s="443"/>
      <c r="O163" s="443"/>
    </row>
    <row r="164" spans="2:38" x14ac:dyDescent="0.6">
      <c r="B164" s="79" t="s">
        <v>805</v>
      </c>
      <c r="C164" s="143"/>
      <c r="D164" s="392">
        <v>0.65</v>
      </c>
      <c r="E164" s="392">
        <v>0.65</v>
      </c>
      <c r="F164" s="392">
        <v>0.65</v>
      </c>
      <c r="G164" s="392">
        <v>0.65</v>
      </c>
      <c r="H164" s="392">
        <v>0.65</v>
      </c>
      <c r="I164" s="392">
        <v>0.65</v>
      </c>
      <c r="J164" s="392">
        <v>0.65</v>
      </c>
      <c r="K164" s="392">
        <v>0.65</v>
      </c>
      <c r="L164" s="392">
        <v>0.65</v>
      </c>
      <c r="M164" s="392">
        <v>0.65</v>
      </c>
      <c r="N164" s="392">
        <v>0.65</v>
      </c>
      <c r="O164" s="392">
        <v>0.65</v>
      </c>
    </row>
    <row r="165" spans="2:38" x14ac:dyDescent="0.6">
      <c r="B165" s="440" t="s">
        <v>803</v>
      </c>
      <c r="C165" s="141"/>
      <c r="D165" s="443">
        <f>D164*D162</f>
        <v>3763.8714285714291</v>
      </c>
      <c r="E165" s="443">
        <f>E164*E162</f>
        <v>6231.2714285714292</v>
      </c>
      <c r="F165" s="443">
        <f>F164*F162</f>
        <v>6231.2714285714292</v>
      </c>
      <c r="G165" s="443">
        <f t="shared" ref="G165:O165" si="62">G164*G162</f>
        <v>10731.525503907242</v>
      </c>
      <c r="H165" s="443">
        <f t="shared" si="62"/>
        <v>16181.362517369675</v>
      </c>
      <c r="I165" s="443">
        <f t="shared" si="62"/>
        <v>18008.746202957096</v>
      </c>
      <c r="J165" s="443">
        <f t="shared" si="62"/>
        <v>22798.872029697886</v>
      </c>
      <c r="K165" s="443">
        <f t="shared" si="62"/>
        <v>28422.71619708612</v>
      </c>
      <c r="L165" s="443">
        <f t="shared" si="62"/>
        <v>33788.709907734017</v>
      </c>
      <c r="M165" s="443">
        <f t="shared" si="62"/>
        <v>38997.672731633378</v>
      </c>
      <c r="N165" s="443">
        <f t="shared" si="62"/>
        <v>44145.427338710288</v>
      </c>
      <c r="O165" s="443">
        <f t="shared" si="62"/>
        <v>49526.275120642</v>
      </c>
    </row>
    <row r="166" spans="2:38" x14ac:dyDescent="0.6">
      <c r="B166" s="391" t="s">
        <v>804</v>
      </c>
      <c r="C166" s="143"/>
      <c r="D166" s="392">
        <v>0</v>
      </c>
      <c r="E166" s="392">
        <v>0</v>
      </c>
      <c r="F166" s="392">
        <v>0.1</v>
      </c>
      <c r="G166" s="392">
        <v>0.1</v>
      </c>
      <c r="H166" s="392">
        <v>0.1</v>
      </c>
      <c r="I166" s="392">
        <v>0.1</v>
      </c>
      <c r="J166" s="392">
        <v>0.1</v>
      </c>
      <c r="K166" s="392">
        <v>0.1</v>
      </c>
      <c r="L166" s="392">
        <v>0.1</v>
      </c>
      <c r="M166" s="392">
        <v>0.1</v>
      </c>
      <c r="N166" s="392">
        <v>0.1</v>
      </c>
      <c r="O166" s="392">
        <v>0.1</v>
      </c>
    </row>
    <row r="167" spans="2:38" x14ac:dyDescent="0.6">
      <c r="B167" s="456" t="s">
        <v>818</v>
      </c>
      <c r="C167" s="457"/>
      <c r="D167" s="393">
        <v>0</v>
      </c>
      <c r="E167" s="393">
        <v>0</v>
      </c>
      <c r="F167" s="393">
        <v>0.45</v>
      </c>
      <c r="G167" s="393">
        <v>0.45</v>
      </c>
      <c r="H167" s="393">
        <v>0.45</v>
      </c>
      <c r="I167" s="393">
        <v>0.45</v>
      </c>
      <c r="J167" s="393">
        <v>0.45</v>
      </c>
      <c r="K167" s="393">
        <v>0.45</v>
      </c>
      <c r="L167" s="393">
        <v>0.45</v>
      </c>
      <c r="M167" s="393">
        <v>0.45</v>
      </c>
      <c r="N167" s="393">
        <v>0.45</v>
      </c>
      <c r="O167" s="393">
        <v>0.45</v>
      </c>
      <c r="AK167" t="s">
        <v>827</v>
      </c>
      <c r="AL167">
        <f>9657</f>
        <v>9657</v>
      </c>
    </row>
    <row r="168" spans="2:38" x14ac:dyDescent="0.6">
      <c r="B168" s="391" t="s">
        <v>810</v>
      </c>
      <c r="C168" s="143"/>
      <c r="D168" s="455">
        <f>D167*D166*D165</f>
        <v>0</v>
      </c>
      <c r="E168" s="455">
        <f t="shared" ref="E168:O168" si="63">E167*E166*E165</f>
        <v>0</v>
      </c>
      <c r="F168" s="455">
        <f t="shared" si="63"/>
        <v>280.40721428571436</v>
      </c>
      <c r="G168" s="455">
        <f t="shared" si="63"/>
        <v>482.91864767582592</v>
      </c>
      <c r="H168" s="455">
        <f t="shared" si="63"/>
        <v>728.16131328163544</v>
      </c>
      <c r="I168" s="455">
        <f t="shared" si="63"/>
        <v>810.39357913306947</v>
      </c>
      <c r="J168" s="455">
        <f t="shared" si="63"/>
        <v>1025.9492413364051</v>
      </c>
      <c r="K168" s="455">
        <f t="shared" si="63"/>
        <v>1279.0222288688756</v>
      </c>
      <c r="L168" s="455">
        <f t="shared" si="63"/>
        <v>1520.491945848031</v>
      </c>
      <c r="M168" s="455">
        <f t="shared" si="63"/>
        <v>1754.8952729235023</v>
      </c>
      <c r="N168" s="455">
        <f t="shared" si="63"/>
        <v>1986.5442302419631</v>
      </c>
      <c r="O168" s="455">
        <f t="shared" si="63"/>
        <v>2228.6823804288902</v>
      </c>
      <c r="AL168" s="234">
        <v>0.1</v>
      </c>
    </row>
    <row r="169" spans="2:38" x14ac:dyDescent="0.6">
      <c r="B169" s="440"/>
      <c r="C169" s="141"/>
      <c r="D169" s="214"/>
      <c r="E169" s="214"/>
      <c r="F169" s="214"/>
      <c r="G169" s="214"/>
      <c r="H169" s="214"/>
      <c r="I169" s="214"/>
      <c r="J169" s="214"/>
      <c r="K169" s="214"/>
      <c r="L169" s="214"/>
      <c r="M169" s="214"/>
      <c r="N169" s="214"/>
      <c r="O169" s="214"/>
      <c r="AL169" s="234">
        <v>0.45</v>
      </c>
    </row>
    <row r="170" spans="2:38" x14ac:dyDescent="0.6">
      <c r="B170" s="391" t="s">
        <v>806</v>
      </c>
      <c r="C170" s="143"/>
      <c r="D170" s="392">
        <f>100%-D164</f>
        <v>0.35</v>
      </c>
      <c r="E170" s="392">
        <f>100%-E164</f>
        <v>0.35</v>
      </c>
      <c r="F170" s="392">
        <f>100%-F164</f>
        <v>0.35</v>
      </c>
      <c r="G170" s="392">
        <f t="shared" ref="G170:O170" si="64">100%-G164</f>
        <v>0.35</v>
      </c>
      <c r="H170" s="392">
        <f t="shared" si="64"/>
        <v>0.35</v>
      </c>
      <c r="I170" s="392">
        <f t="shared" si="64"/>
        <v>0.35</v>
      </c>
      <c r="J170" s="392">
        <f t="shared" si="64"/>
        <v>0.35</v>
      </c>
      <c r="K170" s="392">
        <f t="shared" si="64"/>
        <v>0.35</v>
      </c>
      <c r="L170" s="392">
        <f t="shared" si="64"/>
        <v>0.35</v>
      </c>
      <c r="M170" s="392">
        <f t="shared" si="64"/>
        <v>0.35</v>
      </c>
      <c r="N170" s="392">
        <f t="shared" si="64"/>
        <v>0.35</v>
      </c>
      <c r="O170" s="392">
        <f t="shared" si="64"/>
        <v>0.35</v>
      </c>
      <c r="AL170">
        <f>AL169*AL168*AL167</f>
        <v>434.56500000000005</v>
      </c>
    </row>
    <row r="171" spans="2:38" x14ac:dyDescent="0.6">
      <c r="B171" s="440" t="s">
        <v>826</v>
      </c>
      <c r="C171" s="141"/>
      <c r="D171" s="443">
        <f>D162-D165</f>
        <v>2026.7000000000003</v>
      </c>
      <c r="E171" s="443">
        <f>E162-E165</f>
        <v>3355.3</v>
      </c>
      <c r="F171" s="443">
        <f>F162-F165</f>
        <v>3355.3</v>
      </c>
      <c r="G171" s="443">
        <f t="shared" ref="G171:O171" si="65">G162-G165</f>
        <v>5778.5137328731307</v>
      </c>
      <c r="H171" s="443">
        <f t="shared" si="65"/>
        <v>8713.0413555067462</v>
      </c>
      <c r="I171" s="443">
        <f t="shared" si="65"/>
        <v>9697.0171862076677</v>
      </c>
      <c r="J171" s="443">
        <f t="shared" si="65"/>
        <v>12276.315708298862</v>
      </c>
      <c r="K171" s="443">
        <f t="shared" si="65"/>
        <v>15304.53949073868</v>
      </c>
      <c r="L171" s="443">
        <f t="shared" si="65"/>
        <v>18193.920719549082</v>
      </c>
      <c r="M171" s="443">
        <f t="shared" si="65"/>
        <v>20998.746855494894</v>
      </c>
      <c r="N171" s="443">
        <f t="shared" si="65"/>
        <v>23770.614720843994</v>
      </c>
      <c r="O171" s="443">
        <f t="shared" si="65"/>
        <v>26667.994295730306</v>
      </c>
      <c r="AL171">
        <f>AL167*10%*75%</f>
        <v>724.27500000000009</v>
      </c>
    </row>
    <row r="172" spans="2:38" x14ac:dyDescent="0.6">
      <c r="B172" s="391" t="s">
        <v>769</v>
      </c>
      <c r="C172" s="143"/>
      <c r="D172" s="392">
        <v>0</v>
      </c>
      <c r="E172" s="392">
        <v>0</v>
      </c>
      <c r="F172" s="392">
        <v>0.1</v>
      </c>
      <c r="G172" s="392">
        <v>0.1</v>
      </c>
      <c r="H172" s="392">
        <v>0.1</v>
      </c>
      <c r="I172" s="392">
        <v>0.1</v>
      </c>
      <c r="J172" s="392">
        <v>0.1</v>
      </c>
      <c r="K172" s="392">
        <v>0.1</v>
      </c>
      <c r="L172" s="392">
        <v>0.1</v>
      </c>
      <c r="M172" s="392">
        <v>0.1</v>
      </c>
      <c r="N172" s="392">
        <v>0.1</v>
      </c>
      <c r="O172" s="392">
        <v>0.1</v>
      </c>
    </row>
    <row r="173" spans="2:38" x14ac:dyDescent="0.6">
      <c r="B173" s="456" t="s">
        <v>818</v>
      </c>
      <c r="C173" s="457"/>
      <c r="D173" s="393">
        <v>0</v>
      </c>
      <c r="E173" s="393">
        <v>0</v>
      </c>
      <c r="F173" s="393">
        <v>0.75</v>
      </c>
      <c r="G173" s="393">
        <v>0.75</v>
      </c>
      <c r="H173" s="393">
        <v>0.75</v>
      </c>
      <c r="I173" s="393">
        <v>0.75</v>
      </c>
      <c r="J173" s="393">
        <v>0.75</v>
      </c>
      <c r="K173" s="393">
        <v>0.75</v>
      </c>
      <c r="L173" s="393">
        <v>0.75</v>
      </c>
      <c r="M173" s="393">
        <v>0.75</v>
      </c>
      <c r="N173" s="393">
        <v>0.75</v>
      </c>
      <c r="O173" s="393">
        <v>0.75</v>
      </c>
    </row>
    <row r="174" spans="2:38" x14ac:dyDescent="0.6">
      <c r="B174" s="391" t="s">
        <v>811</v>
      </c>
      <c r="C174" s="143"/>
      <c r="D174" s="455">
        <f t="shared" ref="D174:O174" si="66">D173*D172*D171</f>
        <v>0</v>
      </c>
      <c r="E174" s="455">
        <f t="shared" si="66"/>
        <v>0</v>
      </c>
      <c r="F174" s="455">
        <f t="shared" si="66"/>
        <v>251.64750000000006</v>
      </c>
      <c r="G174" s="455">
        <f t="shared" si="66"/>
        <v>433.38852996548485</v>
      </c>
      <c r="H174" s="455">
        <f t="shared" si="66"/>
        <v>653.4781016630061</v>
      </c>
      <c r="I174" s="455">
        <f t="shared" si="66"/>
        <v>727.27628896557519</v>
      </c>
      <c r="J174" s="455">
        <f t="shared" si="66"/>
        <v>920.72367812241475</v>
      </c>
      <c r="K174" s="455">
        <f t="shared" si="66"/>
        <v>1147.8404618054012</v>
      </c>
      <c r="L174" s="455">
        <f t="shared" si="66"/>
        <v>1364.5440539661813</v>
      </c>
      <c r="M174" s="455">
        <f t="shared" si="66"/>
        <v>1574.9060141621173</v>
      </c>
      <c r="N174" s="455">
        <f t="shared" si="66"/>
        <v>1782.7961040632999</v>
      </c>
      <c r="O174" s="455">
        <f t="shared" si="66"/>
        <v>2000.0995721797733</v>
      </c>
    </row>
    <row r="175" spans="2:38" x14ac:dyDescent="0.6">
      <c r="B175" s="440"/>
      <c r="C175" s="141"/>
      <c r="D175" s="214"/>
      <c r="E175" s="214"/>
      <c r="F175" s="214"/>
      <c r="G175" s="214"/>
      <c r="H175" s="214"/>
      <c r="I175" s="214"/>
      <c r="J175" s="214"/>
      <c r="K175" s="214"/>
      <c r="L175" s="214"/>
      <c r="M175" s="214"/>
      <c r="N175" s="214"/>
      <c r="O175" s="214"/>
    </row>
    <row r="176" spans="2:38" x14ac:dyDescent="0.6">
      <c r="B176" s="444" t="s">
        <v>812</v>
      </c>
      <c r="C176" s="81"/>
      <c r="D176" s="310">
        <f>D174+D168</f>
        <v>0</v>
      </c>
      <c r="E176" s="310">
        <f t="shared" ref="E176:O176" si="67">E174+E168</f>
        <v>0</v>
      </c>
      <c r="F176" s="310">
        <f t="shared" si="67"/>
        <v>532.05471428571445</v>
      </c>
      <c r="G176" s="310">
        <f t="shared" si="67"/>
        <v>916.30717764131077</v>
      </c>
      <c r="H176" s="310">
        <f t="shared" si="67"/>
        <v>1381.6394149446414</v>
      </c>
      <c r="I176" s="310">
        <f t="shared" si="67"/>
        <v>1537.6698680986447</v>
      </c>
      <c r="J176" s="310">
        <f t="shared" si="67"/>
        <v>1946.6729194588197</v>
      </c>
      <c r="K176" s="310">
        <f t="shared" si="67"/>
        <v>2426.8626906742766</v>
      </c>
      <c r="L176" s="310">
        <f t="shared" si="67"/>
        <v>2885.0359998142121</v>
      </c>
      <c r="M176" s="310">
        <f t="shared" si="67"/>
        <v>3329.8012870856196</v>
      </c>
      <c r="N176" s="310">
        <f t="shared" si="67"/>
        <v>3769.3403343052632</v>
      </c>
      <c r="O176" s="310">
        <f t="shared" si="67"/>
        <v>4228.7819526086632</v>
      </c>
    </row>
    <row r="177" spans="2:15" x14ac:dyDescent="0.6">
      <c r="B177" s="454"/>
      <c r="C177" s="79"/>
      <c r="D177" s="80"/>
      <c r="E177" s="80"/>
      <c r="F177" s="80"/>
      <c r="G177" s="80"/>
      <c r="H177" s="80"/>
      <c r="I177" s="80"/>
      <c r="J177" s="80"/>
      <c r="K177" s="80"/>
      <c r="L177" s="80"/>
      <c r="M177" s="80"/>
      <c r="N177" s="80"/>
      <c r="O177" s="80"/>
    </row>
    <row r="178" spans="2:15" x14ac:dyDescent="0.6">
      <c r="B178" s="387" t="s">
        <v>829</v>
      </c>
      <c r="C178" s="79"/>
      <c r="D178" s="79"/>
      <c r="E178" s="79"/>
      <c r="F178" s="79"/>
      <c r="G178" s="79"/>
      <c r="H178" s="79"/>
      <c r="I178" s="79"/>
      <c r="J178" s="79"/>
      <c r="K178" s="79"/>
      <c r="L178" s="79"/>
      <c r="M178" s="79"/>
      <c r="N178" s="79"/>
      <c r="O178" s="79"/>
    </row>
    <row r="180" spans="2:15" x14ac:dyDescent="0.6">
      <c r="B180" s="128" t="s">
        <v>838</v>
      </c>
      <c r="C180" s="128"/>
      <c r="D180" s="128"/>
      <c r="E180" s="128"/>
      <c r="F180" s="128">
        <v>2021</v>
      </c>
    </row>
    <row r="181" spans="2:15" x14ac:dyDescent="0.6">
      <c r="B181" s="77" t="str">
        <f>B159</f>
        <v>Credit card loans</v>
      </c>
      <c r="C181" s="77"/>
      <c r="D181" s="77"/>
      <c r="E181" s="77"/>
      <c r="F181" s="78">
        <f>F144</f>
        <v>5162</v>
      </c>
    </row>
    <row r="182" spans="2:15" x14ac:dyDescent="0.6">
      <c r="B182" s="390" t="s">
        <v>830</v>
      </c>
      <c r="C182" s="79"/>
      <c r="D182" s="79"/>
      <c r="E182" s="79"/>
      <c r="F182" s="80">
        <f>F138</f>
        <v>337</v>
      </c>
    </row>
    <row r="183" spans="2:15" x14ac:dyDescent="0.6">
      <c r="B183" s="408" t="s">
        <v>831</v>
      </c>
      <c r="C183" s="374"/>
      <c r="D183" s="374"/>
      <c r="E183" s="374"/>
      <c r="F183" s="435">
        <f>F136</f>
        <v>468.19000000000005</v>
      </c>
    </row>
    <row r="184" spans="2:15" x14ac:dyDescent="0.6">
      <c r="B184" s="79" t="s">
        <v>832</v>
      </c>
      <c r="C184" s="79"/>
      <c r="D184" s="79"/>
      <c r="E184" s="79"/>
      <c r="F184" s="80">
        <f>F181-F182-F183</f>
        <v>4356.8099999999995</v>
      </c>
    </row>
    <row r="185" spans="2:15" x14ac:dyDescent="0.6">
      <c r="B185" s="77"/>
      <c r="C185" s="77"/>
      <c r="D185" s="77"/>
      <c r="E185" s="77"/>
      <c r="F185" s="77"/>
    </row>
    <row r="186" spans="2:15" x14ac:dyDescent="0.6">
      <c r="B186" s="79" t="s">
        <v>833</v>
      </c>
      <c r="C186" s="79"/>
      <c r="D186" s="79"/>
      <c r="E186" s="79"/>
      <c r="F186" s="309">
        <v>0.35</v>
      </c>
    </row>
    <row r="187" spans="2:15" x14ac:dyDescent="0.6">
      <c r="B187" s="77" t="s">
        <v>834</v>
      </c>
      <c r="C187" s="77"/>
      <c r="D187" s="77"/>
      <c r="E187" s="77"/>
      <c r="F187" s="78">
        <f>F186*F184</f>
        <v>1524.8834999999997</v>
      </c>
    </row>
    <row r="188" spans="2:15" x14ac:dyDescent="0.6">
      <c r="B188" s="79" t="s">
        <v>835</v>
      </c>
      <c r="C188" s="79"/>
      <c r="D188" s="79"/>
      <c r="E188" s="79"/>
      <c r="F188" s="80">
        <f>F184-F187</f>
        <v>2831.9264999999996</v>
      </c>
    </row>
    <row r="189" spans="2:15" x14ac:dyDescent="0.6">
      <c r="B189" s="77"/>
      <c r="C189" s="77"/>
      <c r="D189" s="77"/>
      <c r="E189" s="77"/>
      <c r="F189" s="77"/>
    </row>
    <row r="190" spans="2:15" x14ac:dyDescent="0.6">
      <c r="B190" s="79" t="s">
        <v>842</v>
      </c>
      <c r="C190" s="79"/>
      <c r="D190" s="79"/>
      <c r="E190" s="79"/>
      <c r="F190" s="309">
        <v>0.75</v>
      </c>
    </row>
    <row r="191" spans="2:15" x14ac:dyDescent="0.6">
      <c r="B191" s="77" t="s">
        <v>843</v>
      </c>
      <c r="C191" s="77"/>
      <c r="D191" s="77"/>
      <c r="E191" s="77"/>
      <c r="F191" s="373">
        <v>0.45</v>
      </c>
    </row>
    <row r="192" spans="2:15" x14ac:dyDescent="0.6">
      <c r="B192" s="79"/>
      <c r="C192" s="79"/>
      <c r="D192" s="79"/>
      <c r="E192" s="79"/>
      <c r="F192" s="79"/>
    </row>
    <row r="193" spans="2:6" x14ac:dyDescent="0.6">
      <c r="B193" s="77" t="s">
        <v>836</v>
      </c>
      <c r="C193" s="77"/>
      <c r="D193" s="77"/>
      <c r="E193" s="77"/>
      <c r="F193" s="78">
        <f>F190*F187</f>
        <v>1143.6626249999997</v>
      </c>
    </row>
    <row r="194" spans="2:6" ht="15.9" thickBot="1" x14ac:dyDescent="0.65">
      <c r="B194" s="79" t="s">
        <v>837</v>
      </c>
      <c r="C194" s="79"/>
      <c r="D194" s="79"/>
      <c r="E194" s="79"/>
      <c r="F194" s="80">
        <f>F191*F188</f>
        <v>1274.3669249999998</v>
      </c>
    </row>
    <row r="195" spans="2:6" ht="15.9" thickBot="1" x14ac:dyDescent="0.65">
      <c r="B195" s="470" t="s">
        <v>848</v>
      </c>
      <c r="C195" s="471"/>
      <c r="D195" s="471"/>
      <c r="E195" s="471"/>
      <c r="F195" s="472">
        <f>F193+F194</f>
        <v>2418.0295499999993</v>
      </c>
    </row>
    <row r="196" spans="2:6" x14ac:dyDescent="0.6">
      <c r="B196" s="79"/>
      <c r="C196" s="79"/>
      <c r="D196" s="79"/>
      <c r="E196" s="79"/>
      <c r="F196" s="79"/>
    </row>
    <row r="197" spans="2:6" x14ac:dyDescent="0.6">
      <c r="B197" s="378" t="s">
        <v>827</v>
      </c>
      <c r="C197" s="378"/>
      <c r="D197" s="378"/>
      <c r="E197" s="378"/>
      <c r="F197" s="378"/>
    </row>
    <row r="198" spans="2:6" x14ac:dyDescent="0.6">
      <c r="B198" s="79" t="s">
        <v>839</v>
      </c>
      <c r="C198" s="79"/>
      <c r="D198" s="79"/>
      <c r="E198" s="79"/>
      <c r="F198" s="309">
        <v>0.35</v>
      </c>
    </row>
    <row r="199" spans="2:6" x14ac:dyDescent="0.6">
      <c r="B199" s="77" t="s">
        <v>840</v>
      </c>
      <c r="C199" s="77"/>
      <c r="D199" s="77"/>
      <c r="E199" s="77"/>
      <c r="F199" s="78">
        <f>F181/F198</f>
        <v>14748.571428571429</v>
      </c>
    </row>
    <row r="200" spans="2:6" x14ac:dyDescent="0.6">
      <c r="B200" s="79" t="s">
        <v>841</v>
      </c>
      <c r="C200" s="79"/>
      <c r="D200" s="79"/>
      <c r="E200" s="79"/>
      <c r="F200" s="80">
        <f>F199-F181</f>
        <v>9586.5714285714294</v>
      </c>
    </row>
    <row r="201" spans="2:6" x14ac:dyDescent="0.6">
      <c r="B201" s="77"/>
      <c r="C201" s="77"/>
      <c r="D201" s="77"/>
      <c r="E201" s="77"/>
      <c r="F201" s="77"/>
    </row>
    <row r="202" spans="2:6" x14ac:dyDescent="0.6">
      <c r="B202" s="79" t="str">
        <f>B186</f>
        <v>Assumed ratio revolvers (LTM)</v>
      </c>
      <c r="C202" s="79"/>
      <c r="D202" s="79"/>
      <c r="E202" s="79"/>
      <c r="F202" s="309">
        <f>F186</f>
        <v>0.35</v>
      </c>
    </row>
    <row r="203" spans="2:6" x14ac:dyDescent="0.6">
      <c r="B203" s="77" t="str">
        <f>B190</f>
        <v>FPR for Revolvers</v>
      </c>
      <c r="C203" s="77"/>
      <c r="D203" s="77"/>
      <c r="E203" s="77"/>
      <c r="F203" s="373">
        <f>F190</f>
        <v>0.75</v>
      </c>
    </row>
    <row r="204" spans="2:6" x14ac:dyDescent="0.6">
      <c r="B204" s="79" t="s">
        <v>844</v>
      </c>
      <c r="C204" s="79"/>
      <c r="D204" s="79"/>
      <c r="E204" s="79"/>
      <c r="F204" s="309">
        <v>0.1</v>
      </c>
    </row>
    <row r="205" spans="2:6" x14ac:dyDescent="0.6">
      <c r="B205" s="77" t="s">
        <v>836</v>
      </c>
      <c r="C205" s="77"/>
      <c r="D205" s="77"/>
      <c r="E205" s="77"/>
      <c r="F205" s="78">
        <f>F202*F203*F204*F200</f>
        <v>251.64749999999998</v>
      </c>
    </row>
    <row r="206" spans="2:6" x14ac:dyDescent="0.6">
      <c r="B206" s="79"/>
      <c r="C206" s="79"/>
      <c r="D206" s="79"/>
      <c r="E206" s="79"/>
      <c r="F206" s="80"/>
    </row>
    <row r="207" spans="2:6" x14ac:dyDescent="0.6">
      <c r="B207" s="77" t="s">
        <v>843</v>
      </c>
      <c r="C207" s="77"/>
      <c r="D207" s="77"/>
      <c r="E207" s="77"/>
      <c r="F207" s="373">
        <f>F191</f>
        <v>0.45</v>
      </c>
    </row>
    <row r="208" spans="2:6" x14ac:dyDescent="0.6">
      <c r="B208" s="79" t="str">
        <f>B204</f>
        <v>FCC (assume 100% cancelable)</v>
      </c>
      <c r="C208" s="79"/>
      <c r="D208" s="79"/>
      <c r="E208" s="79"/>
      <c r="F208" s="309">
        <f>F204</f>
        <v>0.1</v>
      </c>
    </row>
    <row r="209" spans="2:6" x14ac:dyDescent="0.6">
      <c r="B209" s="77" t="s">
        <v>837</v>
      </c>
      <c r="C209" s="77"/>
      <c r="D209" s="77"/>
      <c r="E209" s="77"/>
      <c r="F209" s="78">
        <f>(1-F202)*F207*F208*F200</f>
        <v>280.40721428571436</v>
      </c>
    </row>
    <row r="210" spans="2:6" ht="15.9" thickBot="1" x14ac:dyDescent="0.65">
      <c r="B210" s="79"/>
      <c r="C210" s="79"/>
      <c r="D210" s="79"/>
      <c r="E210" s="79"/>
      <c r="F210" s="79"/>
    </row>
    <row r="211" spans="2:6" ht="15.9" thickBot="1" x14ac:dyDescent="0.65">
      <c r="B211" s="470" t="s">
        <v>849</v>
      </c>
      <c r="C211" s="471"/>
      <c r="D211" s="471"/>
      <c r="E211" s="471"/>
      <c r="F211" s="472">
        <f>F205+F209</f>
        <v>532.05471428571434</v>
      </c>
    </row>
    <row r="212" spans="2:6" x14ac:dyDescent="0.6">
      <c r="B212" s="79"/>
      <c r="C212" s="79"/>
      <c r="D212" s="79"/>
      <c r="E212" s="79"/>
      <c r="F212" s="79"/>
    </row>
    <row r="213" spans="2:6" x14ac:dyDescent="0.6">
      <c r="B213" s="467" t="s">
        <v>854</v>
      </c>
      <c r="C213" s="467"/>
      <c r="D213" s="467"/>
      <c r="E213" s="467"/>
      <c r="F213" s="468">
        <f>F195+F211</f>
        <v>2950.0842642857137</v>
      </c>
    </row>
    <row r="214" spans="2:6" x14ac:dyDescent="0.6">
      <c r="B214" s="79" t="s">
        <v>845</v>
      </c>
      <c r="C214" s="79"/>
      <c r="D214" s="79"/>
      <c r="E214" s="79"/>
      <c r="F214" s="372">
        <v>0.14000000000000001</v>
      </c>
    </row>
    <row r="215" spans="2:6" x14ac:dyDescent="0.6">
      <c r="B215" s="371" t="s">
        <v>852</v>
      </c>
      <c r="C215" s="371"/>
      <c r="D215" s="371"/>
      <c r="E215" s="371"/>
      <c r="F215" s="469">
        <f>F213*F214</f>
        <v>413.01179699999994</v>
      </c>
    </row>
    <row r="216" spans="2:6" x14ac:dyDescent="0.6">
      <c r="B216" s="79"/>
      <c r="C216" s="79"/>
      <c r="D216" s="79"/>
      <c r="E216" s="79"/>
      <c r="F216" s="79"/>
    </row>
    <row r="217" spans="2:6" ht="14.7" customHeight="1" x14ac:dyDescent="0.6">
      <c r="B217" s="467" t="s">
        <v>846</v>
      </c>
      <c r="C217" s="467"/>
      <c r="D217" s="467"/>
      <c r="E217" s="467"/>
      <c r="F217" s="468">
        <v>2144</v>
      </c>
    </row>
    <row r="218" spans="2:6" x14ac:dyDescent="0.6">
      <c r="B218" s="79" t="s">
        <v>845</v>
      </c>
      <c r="C218" s="79"/>
      <c r="D218" s="79"/>
      <c r="E218" s="79"/>
      <c r="F218" s="372">
        <v>0.14000000000000001</v>
      </c>
    </row>
    <row r="219" spans="2:6" x14ac:dyDescent="0.6">
      <c r="B219" s="371" t="s">
        <v>851</v>
      </c>
      <c r="C219" s="371"/>
      <c r="D219" s="371"/>
      <c r="E219" s="371"/>
      <c r="F219" s="469">
        <f>F217*F218</f>
        <v>300.16000000000003</v>
      </c>
    </row>
    <row r="220" spans="2:6" x14ac:dyDescent="0.6">
      <c r="B220" s="79"/>
      <c r="C220" s="79"/>
      <c r="D220" s="79"/>
      <c r="E220" s="79"/>
      <c r="F220" s="79"/>
    </row>
    <row r="221" spans="2:6" x14ac:dyDescent="0.6">
      <c r="B221" s="371" t="s">
        <v>847</v>
      </c>
      <c r="C221" s="371"/>
      <c r="D221" s="371"/>
      <c r="E221" s="371"/>
      <c r="F221" s="469">
        <f>F215+F219</f>
        <v>713.17179699999997</v>
      </c>
    </row>
    <row r="222" spans="2:6" x14ac:dyDescent="0.6">
      <c r="B222" s="82" t="s">
        <v>853</v>
      </c>
      <c r="C222" s="82"/>
      <c r="D222" s="82"/>
      <c r="E222" s="82"/>
      <c r="F222" s="82">
        <v>420</v>
      </c>
    </row>
    <row r="223" spans="2:6" ht="15.9" thickBot="1" x14ac:dyDescent="0.65">
      <c r="B223" s="466"/>
      <c r="C223" s="466"/>
      <c r="D223" s="466"/>
      <c r="E223" s="466"/>
      <c r="F223" s="466"/>
    </row>
    <row r="224" spans="2:6" ht="15.9" thickBot="1" x14ac:dyDescent="0.65">
      <c r="B224" s="369" t="s">
        <v>850</v>
      </c>
      <c r="C224" s="301"/>
      <c r="D224" s="301"/>
      <c r="E224" s="301"/>
      <c r="F224" s="473">
        <f>F221-F222</f>
        <v>293.17179699999997</v>
      </c>
    </row>
  </sheetData>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C8C53-EFD9-4938-807A-41D5C9CC9313}">
  <dimension ref="B3:N24"/>
  <sheetViews>
    <sheetView showGridLines="0" zoomScale="77" zoomScaleNormal="80" workbookViewId="0">
      <selection activeCell="B3" sqref="B3"/>
    </sheetView>
  </sheetViews>
  <sheetFormatPr defaultColWidth="9" defaultRowHeight="14.4" x14ac:dyDescent="0.55000000000000004"/>
  <cols>
    <col min="1" max="1" width="9" style="281"/>
    <col min="2" max="2" width="20.046875" style="281" customWidth="1"/>
    <col min="3" max="6" width="9.5" style="281" customWidth="1"/>
    <col min="7" max="7" width="12" style="281" customWidth="1"/>
    <col min="8" max="8" width="1.69921875" style="281" customWidth="1"/>
    <col min="9" max="9" width="20.046875" style="281" customWidth="1"/>
    <col min="10" max="13" width="9.5" style="281" customWidth="1"/>
    <col min="14" max="14" width="11.796875" style="281" customWidth="1"/>
    <col min="15" max="16384" width="9" style="281"/>
  </cols>
  <sheetData>
    <row r="3" spans="2:14" x14ac:dyDescent="0.55000000000000004">
      <c r="B3" s="706" t="s">
        <v>416</v>
      </c>
      <c r="C3" s="746">
        <v>2023</v>
      </c>
      <c r="D3" s="746">
        <f>C3+1</f>
        <v>2024</v>
      </c>
      <c r="E3" s="746">
        <f>D3+1</f>
        <v>2025</v>
      </c>
      <c r="F3" s="746">
        <f>E3+1</f>
        <v>2026</v>
      </c>
      <c r="G3" s="1060" t="s">
        <v>2345</v>
      </c>
      <c r="H3" s="747"/>
      <c r="I3" s="706" t="str">
        <f>B3</f>
        <v>USD m</v>
      </c>
      <c r="J3" s="746">
        <f>C3</f>
        <v>2023</v>
      </c>
      <c r="K3" s="746">
        <f>D3</f>
        <v>2024</v>
      </c>
      <c r="L3" s="746">
        <f>E3</f>
        <v>2025</v>
      </c>
      <c r="M3" s="746">
        <f>F3</f>
        <v>2026</v>
      </c>
      <c r="N3" s="1060" t="s">
        <v>2345</v>
      </c>
    </row>
    <row r="4" spans="2:14" x14ac:dyDescent="0.55000000000000004">
      <c r="B4" s="1282" t="s">
        <v>405</v>
      </c>
      <c r="C4" s="1283">
        <f>Valuation!B14</f>
        <v>13.45</v>
      </c>
      <c r="D4" s="1284"/>
      <c r="E4" s="1284"/>
      <c r="F4" s="1284"/>
      <c r="G4" s="1285"/>
      <c r="H4" s="591"/>
      <c r="I4" s="1282" t="s">
        <v>83</v>
      </c>
      <c r="J4" s="1283">
        <f>Valuation!H26</f>
        <v>7.9832149975087194</v>
      </c>
      <c r="K4" s="1283">
        <f>Valuation!I26</f>
        <v>5.3596812128902664</v>
      </c>
      <c r="L4" s="1283">
        <f>Valuation!J26</f>
        <v>4.2042649414410498</v>
      </c>
      <c r="M4" s="1283">
        <f>Valuation!K26</f>
        <v>3.4252391713990535</v>
      </c>
      <c r="N4" s="1285"/>
    </row>
    <row r="5" spans="2:14" x14ac:dyDescent="0.55000000000000004">
      <c r="B5" s="710" t="s">
        <v>73</v>
      </c>
      <c r="C5" s="748">
        <f>Valuation!H17</f>
        <v>4765</v>
      </c>
      <c r="D5" s="748">
        <f>Valuation!I17</f>
        <v>4765</v>
      </c>
      <c r="E5" s="748">
        <f>Valuation!J17</f>
        <v>4765</v>
      </c>
      <c r="F5" s="748">
        <f>Valuation!K17</f>
        <v>4765</v>
      </c>
      <c r="G5" s="749"/>
      <c r="H5" s="591"/>
      <c r="I5" s="710" t="s">
        <v>536</v>
      </c>
      <c r="J5" s="750">
        <f>Valuation!H27</f>
        <v>18.353164375715924</v>
      </c>
      <c r="K5" s="750">
        <f>Valuation!I27</f>
        <v>11.766567549302236</v>
      </c>
      <c r="L5" s="750">
        <f>Valuation!J27</f>
        <v>8.8810515106410381</v>
      </c>
      <c r="M5" s="750">
        <f>Valuation!K27</f>
        <v>7.0359233688192901</v>
      </c>
      <c r="N5" s="749"/>
    </row>
    <row r="6" spans="2:14" x14ac:dyDescent="0.55000000000000004">
      <c r="B6" s="1286" t="s">
        <v>406</v>
      </c>
      <c r="C6" s="1287">
        <f>Valuation!H24</f>
        <v>64089.25</v>
      </c>
      <c r="D6" s="1287">
        <f>Valuation!I24</f>
        <v>64089.25</v>
      </c>
      <c r="E6" s="1287">
        <f>Valuation!J24</f>
        <v>64089.25</v>
      </c>
      <c r="F6" s="1287">
        <f>Valuation!K24</f>
        <v>64089.25</v>
      </c>
      <c r="G6" s="1288"/>
      <c r="H6" s="591"/>
      <c r="I6" s="1286" t="s">
        <v>2346</v>
      </c>
      <c r="J6" s="1295">
        <f>C6/C21</f>
        <v>62.041868344627296</v>
      </c>
      <c r="K6" s="1295">
        <f t="shared" ref="K6:M6" si="0">D6/D21</f>
        <v>33.01324082405678</v>
      </c>
      <c r="L6" s="1295">
        <f t="shared" si="0"/>
        <v>22.731982552717618</v>
      </c>
      <c r="M6" s="1295">
        <f t="shared" si="0"/>
        <v>17.029518940472499</v>
      </c>
      <c r="N6" s="1288"/>
    </row>
    <row r="7" spans="2:14" x14ac:dyDescent="0.55000000000000004">
      <c r="B7" s="710"/>
      <c r="C7" s="748"/>
      <c r="D7" s="748"/>
      <c r="E7" s="748"/>
      <c r="F7" s="748"/>
      <c r="G7" s="749"/>
      <c r="H7" s="591"/>
      <c r="I7" s="710" t="s">
        <v>433</v>
      </c>
      <c r="J7" s="750">
        <f>Valuation!H29</f>
        <v>10.007221710413312</v>
      </c>
      <c r="K7" s="750">
        <f ca="1">Valuation!I29</f>
        <v>7.6786665746916363</v>
      </c>
      <c r="L7" s="750">
        <f ca="1">Valuation!J29</f>
        <v>5.7398089028853487</v>
      </c>
      <c r="M7" s="750">
        <f ca="1">Valuation!K29</f>
        <v>4.2928884461950743</v>
      </c>
      <c r="N7" s="749"/>
    </row>
    <row r="8" spans="2:14" x14ac:dyDescent="0.55000000000000004">
      <c r="B8" s="1289" t="s">
        <v>80</v>
      </c>
      <c r="C8" s="1290">
        <f>Valuation!H21</f>
        <v>0</v>
      </c>
      <c r="D8" s="1290">
        <f>Valuation!I21</f>
        <v>0</v>
      </c>
      <c r="E8" s="1290">
        <f>Valuation!J21</f>
        <v>0</v>
      </c>
      <c r="F8" s="1290">
        <f>Valuation!K21</f>
        <v>0</v>
      </c>
      <c r="G8" s="1291"/>
      <c r="H8" s="591"/>
      <c r="I8" s="1289"/>
      <c r="J8" s="1290"/>
      <c r="K8" s="1290"/>
      <c r="L8" s="1290"/>
      <c r="M8" s="1290"/>
      <c r="N8" s="1291"/>
    </row>
    <row r="9" spans="2:14" x14ac:dyDescent="0.55000000000000004">
      <c r="B9" s="710" t="s">
        <v>81</v>
      </c>
      <c r="C9" s="748">
        <f>Valuation!H22</f>
        <v>64089.25</v>
      </c>
      <c r="D9" s="748">
        <f>Valuation!I22</f>
        <v>64089.25</v>
      </c>
      <c r="E9" s="748">
        <f>Valuation!J22</f>
        <v>64089.25</v>
      </c>
      <c r="F9" s="748">
        <f>Valuation!K22</f>
        <v>64089.25</v>
      </c>
      <c r="G9" s="749"/>
      <c r="H9" s="591"/>
      <c r="I9" s="710"/>
      <c r="J9" s="748"/>
      <c r="K9" s="748"/>
      <c r="L9" s="748"/>
      <c r="M9" s="748"/>
      <c r="N9" s="749"/>
    </row>
    <row r="10" spans="2:14" x14ac:dyDescent="0.55000000000000004">
      <c r="B10" s="1286"/>
      <c r="C10" s="1287"/>
      <c r="D10" s="1287"/>
      <c r="E10" s="1287"/>
      <c r="F10" s="1287"/>
      <c r="G10" s="1288"/>
      <c r="H10" s="591"/>
      <c r="I10" s="1286"/>
      <c r="J10" s="1287"/>
      <c r="K10" s="1287"/>
      <c r="L10" s="1287"/>
      <c r="M10" s="1287"/>
      <c r="N10" s="1288"/>
    </row>
    <row r="11" spans="2:14" x14ac:dyDescent="0.55000000000000004">
      <c r="B11" s="710"/>
      <c r="C11" s="748"/>
      <c r="D11" s="748"/>
      <c r="E11" s="748"/>
      <c r="F11" s="748"/>
      <c r="G11" s="749"/>
      <c r="H11" s="591"/>
      <c r="I11" s="710"/>
      <c r="J11" s="748"/>
      <c r="K11" s="748"/>
      <c r="L11" s="748"/>
      <c r="M11" s="748"/>
      <c r="N11" s="749"/>
    </row>
    <row r="12" spans="2:14" x14ac:dyDescent="0.55000000000000004">
      <c r="B12" s="1292" t="s">
        <v>444</v>
      </c>
      <c r="C12" s="1287"/>
      <c r="D12" s="1287"/>
      <c r="E12" s="1287"/>
      <c r="F12" s="1287"/>
      <c r="G12" s="1288"/>
      <c r="H12" s="591"/>
      <c r="I12" s="1292" t="s">
        <v>407</v>
      </c>
      <c r="J12" s="1287"/>
      <c r="K12" s="1287"/>
      <c r="L12" s="1287"/>
      <c r="M12" s="1287"/>
      <c r="N12" s="1288"/>
    </row>
    <row r="13" spans="2:14" x14ac:dyDescent="0.55000000000000004">
      <c r="B13" s="710" t="s">
        <v>339</v>
      </c>
      <c r="C13" s="748">
        <f>Master!H4</f>
        <v>8028</v>
      </c>
      <c r="D13" s="748">
        <f>Master!I4</f>
        <v>11957.660811218131</v>
      </c>
      <c r="E13" s="748">
        <f>Master!J4</f>
        <v>15243.865667997801</v>
      </c>
      <c r="F13" s="748">
        <f>Master!K4</f>
        <v>18710.883180114535</v>
      </c>
      <c r="G13" s="1293">
        <f>(F13/D13)^(1/2)-1</f>
        <v>0.25090413628800778</v>
      </c>
      <c r="H13" s="591"/>
      <c r="I13" s="710" t="s">
        <v>445</v>
      </c>
      <c r="J13" s="750">
        <f>Drivers!H8</f>
        <v>78</v>
      </c>
      <c r="K13" s="750">
        <f>Drivers!I8</f>
        <v>94.2</v>
      </c>
      <c r="L13" s="750">
        <f>Drivers!J8</f>
        <v>106.6</v>
      </c>
      <c r="M13" s="750">
        <f>Drivers!K8</f>
        <v>116.39999999999999</v>
      </c>
      <c r="N13" s="751">
        <f>(M13/K13)^(1/2)-1</f>
        <v>0.11160640057932247</v>
      </c>
    </row>
    <row r="14" spans="2:14" x14ac:dyDescent="0.55000000000000004">
      <c r="B14" s="1286" t="s">
        <v>414</v>
      </c>
      <c r="C14" s="1287">
        <f>Master!H5</f>
        <v>6439</v>
      </c>
      <c r="D14" s="1287">
        <f>Master!I5</f>
        <v>10103.201107666722</v>
      </c>
      <c r="E14" s="1287">
        <f>Master!J5</f>
        <v>12802.34748502066</v>
      </c>
      <c r="F14" s="1287">
        <f>Master!K5</f>
        <v>15676.722571018654</v>
      </c>
      <c r="G14" s="1294">
        <f>(F14/D14)^(1/2)-1</f>
        <v>0.24565603788281698</v>
      </c>
      <c r="H14" s="752"/>
      <c r="I14" s="1286" t="s">
        <v>446</v>
      </c>
      <c r="J14" s="1287">
        <f>Master!H193</f>
        <v>12414</v>
      </c>
      <c r="K14" s="1287">
        <f>Master!I193</f>
        <v>13815.930217466615</v>
      </c>
      <c r="L14" s="1287">
        <f>Master!J193</f>
        <v>17490.813710703274</v>
      </c>
      <c r="M14" s="1287">
        <f>Master!K193</f>
        <v>21805.308328756375</v>
      </c>
      <c r="N14" s="1294">
        <f>(M14/K14)^(1/2)-1</f>
        <v>0.25629331991492421</v>
      </c>
    </row>
    <row r="15" spans="2:14" x14ac:dyDescent="0.55000000000000004">
      <c r="B15" s="710" t="s">
        <v>415</v>
      </c>
      <c r="C15" s="748">
        <f>Master!H6</f>
        <v>1589</v>
      </c>
      <c r="D15" s="748">
        <f>Master!I6</f>
        <v>1854.4597035514084</v>
      </c>
      <c r="E15" s="748">
        <f>Master!J6</f>
        <v>2441.5181829771404</v>
      </c>
      <c r="F15" s="748">
        <f>Master!K6</f>
        <v>3034.1606090958821</v>
      </c>
      <c r="G15" s="751">
        <f>(F15/D15)^(1/2)-1</f>
        <v>0.27911791775597528</v>
      </c>
      <c r="H15" s="752"/>
      <c r="I15" s="710" t="s">
        <v>447</v>
      </c>
      <c r="J15" s="748">
        <f>Master!H194</f>
        <v>3202</v>
      </c>
      <c r="K15" s="748">
        <f>Master!I194</f>
        <v>5115.5955553122285</v>
      </c>
      <c r="L15" s="748">
        <f>Master!J194</f>
        <v>7120.1529412615355</v>
      </c>
      <c r="M15" s="748">
        <f>Master!K194</f>
        <v>9275.6117367715942</v>
      </c>
      <c r="N15" s="751">
        <f>(M15/K15)^(1/2)-1</f>
        <v>0.3465521573507977</v>
      </c>
    </row>
    <row r="16" spans="2:14" x14ac:dyDescent="0.55000000000000004">
      <c r="B16" s="1286" t="s">
        <v>408</v>
      </c>
      <c r="C16" s="1287">
        <f>Master!H15</f>
        <v>3492</v>
      </c>
      <c r="D16" s="1287">
        <f>Master!I15</f>
        <v>5446.7243511299548</v>
      </c>
      <c r="E16" s="1287">
        <f>Master!J15</f>
        <v>7216.4033643099556</v>
      </c>
      <c r="F16" s="1287">
        <f>Master!K15</f>
        <v>9108.8612880607488</v>
      </c>
      <c r="G16" s="1294">
        <f>(F16/D16)^(1/2)-1</f>
        <v>0.29319597971156353</v>
      </c>
      <c r="H16" s="752"/>
      <c r="I16" s="1286"/>
      <c r="J16" s="1287"/>
      <c r="K16" s="1287"/>
      <c r="L16" s="1287"/>
      <c r="M16" s="1287"/>
      <c r="N16" s="1294"/>
    </row>
    <row r="17" spans="2:14" x14ac:dyDescent="0.55000000000000004">
      <c r="B17" s="710" t="s">
        <v>371</v>
      </c>
      <c r="C17" s="751">
        <f>Master!H16</f>
        <v>0.4349775784753363</v>
      </c>
      <c r="D17" s="751">
        <f>Master!I16</f>
        <v>0.45550082387519197</v>
      </c>
      <c r="E17" s="751">
        <f>Master!J16</f>
        <v>0.47339720261768686</v>
      </c>
      <c r="F17" s="751">
        <f>Master!K16</f>
        <v>0.48682155729246507</v>
      </c>
      <c r="G17" s="749"/>
      <c r="H17" s="591"/>
      <c r="I17" s="710"/>
      <c r="J17" s="751"/>
      <c r="K17" s="751"/>
      <c r="L17" s="751"/>
      <c r="M17" s="751"/>
      <c r="N17" s="749"/>
    </row>
    <row r="18" spans="2:14" x14ac:dyDescent="0.55000000000000004">
      <c r="B18" s="1286"/>
      <c r="C18" s="1288"/>
      <c r="D18" s="1288"/>
      <c r="E18" s="1288"/>
      <c r="F18" s="1288"/>
      <c r="G18" s="1288"/>
      <c r="H18" s="752"/>
      <c r="I18" s="1292" t="s">
        <v>345</v>
      </c>
      <c r="J18" s="1288"/>
      <c r="K18" s="1288"/>
      <c r="L18" s="1288"/>
      <c r="M18" s="1288"/>
      <c r="N18" s="1288"/>
    </row>
    <row r="19" spans="2:14" x14ac:dyDescent="0.55000000000000004">
      <c r="B19" s="710"/>
      <c r="C19" s="749"/>
      <c r="D19" s="749"/>
      <c r="E19" s="749"/>
      <c r="F19" s="749"/>
      <c r="G19" s="749"/>
      <c r="H19" s="591"/>
      <c r="I19" s="710" t="s">
        <v>448</v>
      </c>
      <c r="J19" s="753">
        <f>Drivers!H29</f>
        <v>40.6</v>
      </c>
      <c r="K19" s="753">
        <f>Drivers!I29</f>
        <v>49.61798722044729</v>
      </c>
      <c r="L19" s="753">
        <f>Drivers!J29</f>
        <v>57.969680511182112</v>
      </c>
      <c r="M19" s="753">
        <f>Drivers!K29</f>
        <v>67.087092651757189</v>
      </c>
      <c r="N19" s="751">
        <f>(M19/K19)^(1/2)-1</f>
        <v>0.1627863212618037</v>
      </c>
    </row>
    <row r="20" spans="2:14" x14ac:dyDescent="0.55000000000000004">
      <c r="B20" s="1286" t="s">
        <v>410</v>
      </c>
      <c r="C20" s="1295">
        <f>Master!H53</f>
        <v>1541</v>
      </c>
      <c r="D20" s="1295">
        <f>Master!I53</f>
        <v>2853.2988885854934</v>
      </c>
      <c r="E20" s="1295">
        <f>Master!J53</f>
        <v>4207.9742403941673</v>
      </c>
      <c r="F20" s="1295">
        <f>Master!K53</f>
        <v>5617.0463387306536</v>
      </c>
      <c r="G20" s="1288" t="s">
        <v>409</v>
      </c>
      <c r="H20" s="752"/>
      <c r="I20" s="1286" t="s">
        <v>417</v>
      </c>
      <c r="J20" s="1295">
        <f>Drivers!H89</f>
        <v>0.21650121229288188</v>
      </c>
      <c r="K20" s="1295">
        <f>Drivers!I89</f>
        <v>0.24216712375588612</v>
      </c>
      <c r="L20" s="1295">
        <f>Drivers!J89</f>
        <v>0.25003545975578806</v>
      </c>
      <c r="M20" s="1295">
        <f>Drivers!K89</f>
        <v>0.25684354964963735</v>
      </c>
      <c r="N20" s="1295"/>
    </row>
    <row r="21" spans="2:14" x14ac:dyDescent="0.55000000000000004">
      <c r="B21" s="710" t="s">
        <v>411</v>
      </c>
      <c r="C21" s="750">
        <f>Master!H62</f>
        <v>1033</v>
      </c>
      <c r="D21" s="750">
        <f>Master!I62</f>
        <v>1941.3195554341974</v>
      </c>
      <c r="E21" s="750">
        <f>Master!J62</f>
        <v>2819.342741064092</v>
      </c>
      <c r="F21" s="750">
        <f>Master!K62</f>
        <v>3763.4210469495379</v>
      </c>
      <c r="G21" s="749"/>
      <c r="H21" s="752"/>
      <c r="I21" s="710"/>
      <c r="J21" s="750"/>
      <c r="K21" s="750"/>
      <c r="L21" s="750"/>
      <c r="M21" s="750"/>
      <c r="N21" s="749"/>
    </row>
    <row r="22" spans="2:14" x14ac:dyDescent="0.55000000000000004">
      <c r="B22" s="1286" t="s">
        <v>412</v>
      </c>
      <c r="C22" s="1296">
        <f>Master!H81</f>
        <v>0.21678908709338929</v>
      </c>
      <c r="D22" s="1296">
        <f>Master!I81</f>
        <v>0.40741228865355661</v>
      </c>
      <c r="E22" s="1296">
        <f>Master!J81</f>
        <v>0.59167738532299941</v>
      </c>
      <c r="F22" s="1296">
        <f>Master!K81</f>
        <v>0.78980504657912654</v>
      </c>
      <c r="G22" s="1288"/>
      <c r="H22" s="591"/>
      <c r="I22" s="1286"/>
      <c r="J22" s="1296"/>
      <c r="K22" s="1296"/>
      <c r="L22" s="1296"/>
      <c r="M22" s="1296"/>
      <c r="N22" s="1288"/>
    </row>
    <row r="23" spans="2:14" x14ac:dyDescent="0.55000000000000004">
      <c r="B23" s="710" t="s">
        <v>413</v>
      </c>
      <c r="C23" s="754">
        <f>Master!H84</f>
        <v>0</v>
      </c>
      <c r="D23" s="754">
        <f>Master!I84</f>
        <v>0</v>
      </c>
      <c r="E23" s="754">
        <f>Master!J84</f>
        <v>0</v>
      </c>
      <c r="F23" s="754">
        <f>Master!K84</f>
        <v>0</v>
      </c>
      <c r="G23" s="749"/>
      <c r="H23" s="591"/>
      <c r="I23" s="710"/>
      <c r="J23" s="754"/>
      <c r="K23" s="754"/>
      <c r="L23" s="754"/>
      <c r="M23" s="754"/>
      <c r="N23" s="749"/>
    </row>
    <row r="24" spans="2:14" x14ac:dyDescent="0.55000000000000004">
      <c r="B24" s="1289"/>
      <c r="C24" s="1291"/>
      <c r="D24" s="1291"/>
      <c r="E24" s="1291"/>
      <c r="F24" s="1291"/>
      <c r="G24" s="1291"/>
      <c r="H24" s="591"/>
      <c r="I24" s="1289"/>
      <c r="J24" s="1291"/>
      <c r="K24" s="1291"/>
      <c r="L24" s="1291"/>
      <c r="M24" s="1291"/>
      <c r="N24" s="1291"/>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2A159-4493-4A73-A701-4F7BCA2B9BA0}">
  <dimension ref="A1:M16"/>
  <sheetViews>
    <sheetView zoomScale="80" zoomScaleNormal="80" workbookViewId="0"/>
  </sheetViews>
  <sheetFormatPr defaultRowHeight="15.6" x14ac:dyDescent="0.6"/>
  <cols>
    <col min="1" max="1" width="37.69921875" bestFit="1" customWidth="1"/>
  </cols>
  <sheetData>
    <row r="1" spans="1:13" x14ac:dyDescent="0.6">
      <c r="A1" s="382" t="s">
        <v>657</v>
      </c>
      <c r="B1" s="383">
        <v>2019</v>
      </c>
      <c r="C1" s="383">
        <v>2020</v>
      </c>
      <c r="D1" s="383">
        <v>2021</v>
      </c>
      <c r="E1" s="383">
        <v>2022</v>
      </c>
      <c r="F1" s="383">
        <v>2023</v>
      </c>
      <c r="G1" s="383">
        <v>2024</v>
      </c>
      <c r="H1" s="383">
        <v>2025</v>
      </c>
      <c r="I1" s="383">
        <v>2026</v>
      </c>
      <c r="J1" s="383">
        <v>2027</v>
      </c>
      <c r="K1" s="383">
        <v>2028</v>
      </c>
      <c r="L1" s="383">
        <v>2029</v>
      </c>
      <c r="M1" s="383">
        <v>2030</v>
      </c>
    </row>
    <row r="2" spans="1:13" x14ac:dyDescent="0.6">
      <c r="A2" s="384" t="s">
        <v>658</v>
      </c>
      <c r="B2" s="308">
        <f>Master!D4</f>
        <v>612.09999999999991</v>
      </c>
      <c r="C2" s="308">
        <f>Master!E4</f>
        <v>737.1</v>
      </c>
      <c r="D2" s="308">
        <f>Master!F4</f>
        <v>1696.9561700000002</v>
      </c>
      <c r="E2" s="308">
        <f>Master!G4</f>
        <v>4790.1710000000003</v>
      </c>
      <c r="F2" s="308">
        <f>Master!H4</f>
        <v>8028</v>
      </c>
      <c r="G2" s="308">
        <f>Master!I4</f>
        <v>11957.660811218131</v>
      </c>
      <c r="H2" s="308">
        <f>Master!J4</f>
        <v>15243.865667997801</v>
      </c>
      <c r="I2" s="308">
        <f>Master!K4</f>
        <v>18710.883180114535</v>
      </c>
      <c r="J2" s="308">
        <f>Master!L4</f>
        <v>21834.967731681201</v>
      </c>
      <c r="K2" s="308">
        <f>Master!M4</f>
        <v>24595.326169498534</v>
      </c>
      <c r="L2" s="308">
        <f>Master!N4</f>
        <v>27227.728042218161</v>
      </c>
      <c r="M2" s="308">
        <f>Master!O4</f>
        <v>30428.892243091002</v>
      </c>
    </row>
    <row r="3" spans="1:13" x14ac:dyDescent="0.6">
      <c r="A3" s="385" t="s">
        <v>659</v>
      </c>
      <c r="B3" s="86">
        <f>Master!D4</f>
        <v>612.09999999999991</v>
      </c>
      <c r="C3" s="86">
        <f>Master!E4</f>
        <v>737.1</v>
      </c>
      <c r="D3" s="86">
        <f>Master!F4</f>
        <v>1696.9561700000002</v>
      </c>
      <c r="E3" s="86">
        <f>Master!G4</f>
        <v>4790.1710000000003</v>
      </c>
      <c r="F3" s="86">
        <f>Master!H4</f>
        <v>8028</v>
      </c>
      <c r="G3" s="86">
        <f>Master!I4</f>
        <v>11957.660811218131</v>
      </c>
      <c r="H3" s="86">
        <f>Master!J4</f>
        <v>15243.865667997801</v>
      </c>
      <c r="I3" s="86">
        <f>Master!K4</f>
        <v>18710.883180114535</v>
      </c>
      <c r="J3" s="86">
        <f>Master!L4</f>
        <v>21834.967731681201</v>
      </c>
      <c r="K3" s="86">
        <f>Master!M4</f>
        <v>24595.326169498534</v>
      </c>
      <c r="L3" s="86">
        <f>Master!N4</f>
        <v>27227.728042218161</v>
      </c>
      <c r="M3" s="86">
        <f>Master!O4</f>
        <v>30428.892243091002</v>
      </c>
    </row>
    <row r="4" spans="1:13" x14ac:dyDescent="0.6">
      <c r="A4" s="384" t="s">
        <v>408</v>
      </c>
      <c r="B4" s="308">
        <f>Master!D15</f>
        <v>247.89999999999992</v>
      </c>
      <c r="C4" s="308">
        <f>Master!E15</f>
        <v>326.90000000000003</v>
      </c>
      <c r="D4" s="308">
        <f>Master!F15</f>
        <v>731.85017000000016</v>
      </c>
      <c r="E4" s="308">
        <f>Master!G15</f>
        <v>1663.1710000000003</v>
      </c>
      <c r="F4" s="308">
        <f>Master!H15</f>
        <v>3492</v>
      </c>
      <c r="G4" s="308">
        <f>Master!I15</f>
        <v>5446.7243511299548</v>
      </c>
      <c r="H4" s="308">
        <f>Master!J15</f>
        <v>7216.4033643099556</v>
      </c>
      <c r="I4" s="308">
        <f>Master!K15</f>
        <v>9108.8612880607488</v>
      </c>
      <c r="J4" s="308">
        <f>Master!L15</f>
        <v>11237.940559285704</v>
      </c>
      <c r="K4" s="308">
        <f>Master!M15</f>
        <v>12953.297584549677</v>
      </c>
      <c r="L4" s="308">
        <f>Master!N15</f>
        <v>14406.462667871432</v>
      </c>
      <c r="M4" s="308">
        <f>Master!O15</f>
        <v>16544.389108338306</v>
      </c>
    </row>
    <row r="5" spans="1:13" x14ac:dyDescent="0.6">
      <c r="A5" s="385" t="s">
        <v>656</v>
      </c>
      <c r="B5" s="86">
        <f>Master!D50</f>
        <v>-124.22700000000012</v>
      </c>
      <c r="C5" s="86">
        <f>Master!E50</f>
        <v>-84.571999999999946</v>
      </c>
      <c r="D5" s="86">
        <f>Master!F50</f>
        <v>-153.89182999999974</v>
      </c>
      <c r="E5" s="86">
        <f>Master!G50</f>
        <v>-258.88443888679194</v>
      </c>
      <c r="F5" s="86">
        <f>Master!H50</f>
        <v>1623.0277473636811</v>
      </c>
      <c r="G5" s="86">
        <f>Master!I50</f>
        <v>2975.4787565579886</v>
      </c>
      <c r="H5" s="86">
        <f>Master!J50</f>
        <v>4363.7315849208762</v>
      </c>
      <c r="I5" s="86">
        <f>Master!K50</f>
        <v>5808.2286504458734</v>
      </c>
      <c r="J5" s="86">
        <f>Master!L50</f>
        <v>7523.075088495385</v>
      </c>
      <c r="K5" s="86">
        <f>Master!M50</f>
        <v>8903.793487212708</v>
      </c>
      <c r="L5" s="86">
        <f>Master!N50</f>
        <v>10063.200789340093</v>
      </c>
      <c r="M5" s="86">
        <f>Master!O50</f>
        <v>11852.302874960471</v>
      </c>
    </row>
    <row r="6" spans="1:13" x14ac:dyDescent="0.6">
      <c r="A6" s="384" t="s">
        <v>24</v>
      </c>
      <c r="B6" s="308">
        <f>Master!D62</f>
        <v>-92.500000000000114</v>
      </c>
      <c r="C6" s="308">
        <f>Master!E62</f>
        <v>-171.49999999999994</v>
      </c>
      <c r="D6" s="308">
        <f>Master!F62</f>
        <v>-166.40082999999976</v>
      </c>
      <c r="E6" s="308">
        <f>Master!G62</f>
        <v>-363.82899999999972</v>
      </c>
      <c r="F6" s="308">
        <f>Master!H62</f>
        <v>1033</v>
      </c>
      <c r="G6" s="308">
        <f>Master!I62</f>
        <v>1941.3195554341974</v>
      </c>
      <c r="H6" s="308">
        <f>Master!J62</f>
        <v>2819.342741064092</v>
      </c>
      <c r="I6" s="308">
        <f>Master!K62</f>
        <v>3763.4210469495379</v>
      </c>
      <c r="J6" s="308">
        <f>Master!L62</f>
        <v>4817.981386623147</v>
      </c>
      <c r="K6" s="308">
        <f>Master!M62</f>
        <v>5710.6405385189182</v>
      </c>
      <c r="L6" s="308">
        <f>Master!N62</f>
        <v>6458.0972655946935</v>
      </c>
      <c r="M6" s="308">
        <f>Master!O62</f>
        <v>7617.3169950807678</v>
      </c>
    </row>
    <row r="7" spans="1:13" x14ac:dyDescent="0.6">
      <c r="A7" s="385" t="s">
        <v>660</v>
      </c>
      <c r="B7" s="86"/>
      <c r="C7" s="86"/>
      <c r="D7" s="86"/>
      <c r="E7" s="86"/>
      <c r="F7" s="86"/>
      <c r="G7" s="86"/>
      <c r="H7" s="86"/>
      <c r="I7" s="86"/>
      <c r="J7" s="86"/>
      <c r="K7" s="86"/>
      <c r="L7" s="86"/>
      <c r="M7" s="86"/>
    </row>
    <row r="8" spans="1:13" x14ac:dyDescent="0.6">
      <c r="A8" s="384" t="s">
        <v>661</v>
      </c>
      <c r="B8" s="308">
        <f>Drivers!D8</f>
        <v>12.1</v>
      </c>
      <c r="C8" s="308">
        <f>Drivers!E8</f>
        <v>21.8</v>
      </c>
      <c r="D8" s="308">
        <f>Drivers!F8</f>
        <v>41.1</v>
      </c>
      <c r="E8" s="308">
        <f>Drivers!G8</f>
        <v>61.2</v>
      </c>
      <c r="F8" s="308">
        <f>Drivers!H8</f>
        <v>78</v>
      </c>
      <c r="G8" s="308">
        <f>Drivers!I8</f>
        <v>94.2</v>
      </c>
      <c r="H8" s="308">
        <f>Drivers!J8</f>
        <v>106.6</v>
      </c>
      <c r="I8" s="308">
        <f>Drivers!K8</f>
        <v>116.39999999999999</v>
      </c>
      <c r="J8" s="308">
        <f>Drivers!L8</f>
        <v>125.39999999999999</v>
      </c>
      <c r="K8" s="308">
        <f>Drivers!M8</f>
        <v>132.4</v>
      </c>
      <c r="L8" s="308">
        <f>Drivers!N8</f>
        <v>136.9</v>
      </c>
      <c r="M8" s="308">
        <f>Drivers!O8</f>
        <v>140.30000000000001</v>
      </c>
    </row>
    <row r="9" spans="1:13" x14ac:dyDescent="0.6">
      <c r="A9" s="385" t="s">
        <v>662</v>
      </c>
      <c r="B9" s="86">
        <f>B2/AVERAGE(Drivers!C8:D8)/12</f>
        <v>5.9312015503875957</v>
      </c>
      <c r="C9" s="86">
        <f>C2/AVERAGE(Drivers!D8:E8)/12</f>
        <v>3.6238938053097347</v>
      </c>
      <c r="D9" s="86">
        <f>D2/AVERAGE(Drivers!E8:F8)/12</f>
        <v>4.4964392421833601</v>
      </c>
      <c r="E9" s="86">
        <f>E2/AVERAGE(Drivers!F8:G8)/12</f>
        <v>7.8041234929944601</v>
      </c>
      <c r="F9" s="86">
        <f>F2/AVERAGE(Drivers!G8:H8)/12</f>
        <v>9.612068965517242</v>
      </c>
      <c r="G9" s="86">
        <f>G2/AVERAGE(Drivers!H8:I8)/12</f>
        <v>11.573423162232027</v>
      </c>
      <c r="H9" s="86">
        <f>H2/AVERAGE(Drivers!I8:J8)/12</f>
        <v>12.652610946213313</v>
      </c>
      <c r="I9" s="86">
        <f>I2/AVERAGE(Drivers!J8:K8)/12</f>
        <v>13.984217623403987</v>
      </c>
      <c r="J9" s="86">
        <f>J2/AVERAGE(Drivers!K8:L8)/12</f>
        <v>15.050294824704443</v>
      </c>
      <c r="K9" s="86">
        <f>K2/AVERAGE(Drivers!L8:M8)/12</f>
        <v>15.900779783746144</v>
      </c>
      <c r="L9" s="86">
        <f>L2/AVERAGE(Drivers!M8:N8)/12</f>
        <v>16.850927121065826</v>
      </c>
      <c r="M9" s="86">
        <f>M2/AVERAGE(Drivers!N8:O8)/12</f>
        <v>18.295389756548218</v>
      </c>
    </row>
    <row r="10" spans="1:13" x14ac:dyDescent="0.6">
      <c r="A10" s="384" t="s">
        <v>663</v>
      </c>
      <c r="B10" s="308"/>
      <c r="C10" s="308"/>
      <c r="D10" s="308"/>
      <c r="E10" s="308"/>
      <c r="F10" s="308"/>
      <c r="G10" s="308"/>
      <c r="H10" s="308"/>
      <c r="I10" s="308"/>
      <c r="J10" s="308"/>
      <c r="K10" s="308"/>
      <c r="L10" s="308"/>
      <c r="M10" s="308"/>
    </row>
    <row r="11" spans="1:13" x14ac:dyDescent="0.6">
      <c r="A11" s="385" t="s">
        <v>636</v>
      </c>
      <c r="B11" s="86">
        <f>Drivers!D193</f>
        <v>17.100000000000001</v>
      </c>
      <c r="C11" s="86">
        <f>Drivers!E193</f>
        <v>22.5</v>
      </c>
      <c r="D11" s="86">
        <f>Drivers!F193</f>
        <v>43.8</v>
      </c>
      <c r="E11" s="86">
        <f>Drivers!G193</f>
        <v>81</v>
      </c>
      <c r="F11" s="86">
        <f>Drivers!H193</f>
        <v>111.1</v>
      </c>
      <c r="G11" s="86">
        <f>Drivers!I193</f>
        <v>150.66833867640801</v>
      </c>
      <c r="H11" s="86">
        <f>Drivers!J193</f>
        <v>200.11739929417558</v>
      </c>
      <c r="I11" s="86">
        <f>Drivers!K193</f>
        <v>249.43012079606427</v>
      </c>
      <c r="J11" s="86">
        <f>Drivers!L193</f>
        <v>302.40410819813127</v>
      </c>
      <c r="K11" s="86">
        <f>Drivers!M193</f>
        <v>335.36228483618112</v>
      </c>
      <c r="L11" s="86">
        <f>Drivers!N193</f>
        <v>365.26674869197274</v>
      </c>
      <c r="M11" s="86">
        <f>Drivers!O193</f>
        <v>395.22890281547626</v>
      </c>
    </row>
    <row r="12" spans="1:13" x14ac:dyDescent="0.6">
      <c r="A12" s="384" t="s">
        <v>664</v>
      </c>
      <c r="B12" s="308">
        <f>Master!D224</f>
        <v>612.20000000000005</v>
      </c>
      <c r="C12" s="308">
        <f>Master!E224</f>
        <v>438.1</v>
      </c>
      <c r="D12" s="308">
        <f>Master!F224</f>
        <v>4442.5409999999993</v>
      </c>
      <c r="E12" s="308">
        <f>Master!G224</f>
        <v>4890.0829999999996</v>
      </c>
      <c r="F12" s="308">
        <f>Master!H224</f>
        <v>6405.0839999999998</v>
      </c>
      <c r="G12" s="308">
        <f>Master!I224</f>
        <v>8346.403555434199</v>
      </c>
      <c r="H12" s="308">
        <f>Master!J224</f>
        <v>11165.74629649829</v>
      </c>
      <c r="I12" s="308">
        <f>Master!K224</f>
        <v>14929.167343447827</v>
      </c>
      <c r="J12" s="308">
        <f>Master!L224</f>
        <v>16374.561759434773</v>
      </c>
      <c r="K12" s="308">
        <f>Master!M224</f>
        <v>18087.753920990446</v>
      </c>
      <c r="L12" s="308">
        <f>Master!N224</f>
        <v>20025.183100668855</v>
      </c>
      <c r="M12" s="308">
        <f>Master!O224</f>
        <v>22310.378199193085</v>
      </c>
    </row>
    <row r="13" spans="1:13" x14ac:dyDescent="0.6">
      <c r="A13" s="385" t="s">
        <v>665</v>
      </c>
      <c r="B13" s="86">
        <f>AVERAGE(Master!C181:D181)</f>
        <v>4772.8999999999996</v>
      </c>
      <c r="C13" s="86">
        <f>AVERAGE(Master!D181:E181)</f>
        <v>8471.0127906976741</v>
      </c>
      <c r="D13" s="86">
        <f>AVERAGE(Master!E181:F181)</f>
        <v>15020.341290697674</v>
      </c>
      <c r="E13" s="86">
        <f>AVERAGE(Master!F181:G181)</f>
        <v>24885.878499999999</v>
      </c>
      <c r="F13" s="86">
        <f>AVERAGE(Master!G181:H181)</f>
        <v>36627.699999999997</v>
      </c>
      <c r="G13" s="86">
        <f ca="1">AVERAGE(Master!H181:I181)</f>
        <v>45235.453706613087</v>
      </c>
      <c r="H13" s="86">
        <f ca="1">AVERAGE(Master!I181:J181)</f>
        <v>53827.600689733721</v>
      </c>
      <c r="I13" s="86">
        <f ca="1">AVERAGE(Master!J181:K181)</f>
        <v>67001.947353884112</v>
      </c>
      <c r="J13" s="86">
        <f ca="1">AVERAGE(Master!K181:L181)</f>
        <v>79276.573230471869</v>
      </c>
      <c r="K13" s="86">
        <f ca="1">AVERAGE(Master!L181:M181)</f>
        <v>91179.650344999754</v>
      </c>
      <c r="L13" s="86">
        <f ca="1">AVERAGE(Master!M181:N181)</f>
        <v>103439.49148596573</v>
      </c>
      <c r="M13" s="86">
        <f ca="1">AVERAGE(Master!N181:O181)</f>
        <v>116205.77388917326</v>
      </c>
    </row>
    <row r="14" spans="1:13" x14ac:dyDescent="0.6">
      <c r="A14" s="384" t="s">
        <v>666</v>
      </c>
      <c r="B14" s="308">
        <f>Valuation!D17</f>
        <v>0</v>
      </c>
      <c r="C14" s="308">
        <f>Valuation!E17</f>
        <v>4311.3442110000005</v>
      </c>
      <c r="D14" s="308">
        <f>Valuation!F17</f>
        <v>4643.8673490000001</v>
      </c>
      <c r="E14" s="308">
        <f>Valuation!G17</f>
        <v>4693</v>
      </c>
      <c r="F14" s="308">
        <f>Valuation!H17</f>
        <v>4765</v>
      </c>
      <c r="G14" s="308">
        <f>Valuation!I17</f>
        <v>4765</v>
      </c>
      <c r="H14" s="308">
        <f>Valuation!J17</f>
        <v>4765</v>
      </c>
      <c r="I14" s="308">
        <f>Valuation!K17</f>
        <v>4765</v>
      </c>
      <c r="J14" s="308">
        <f>Valuation!L17</f>
        <v>4765</v>
      </c>
      <c r="K14" s="308">
        <f>Valuation!M17</f>
        <v>4765</v>
      </c>
      <c r="L14" s="308">
        <f>Valuation!N17</f>
        <v>4765</v>
      </c>
      <c r="M14" s="308">
        <f>Valuation!O17</f>
        <v>4765</v>
      </c>
    </row>
    <row r="15" spans="1:13" x14ac:dyDescent="0.6">
      <c r="A15" s="385" t="s">
        <v>667</v>
      </c>
      <c r="B15" s="86"/>
      <c r="C15" s="86"/>
      <c r="D15" s="86"/>
      <c r="E15" s="86"/>
      <c r="F15" s="86"/>
      <c r="G15" s="86"/>
      <c r="H15" s="86"/>
      <c r="I15" s="86"/>
      <c r="J15" s="86"/>
      <c r="K15" s="86"/>
      <c r="L15" s="86"/>
      <c r="M15" s="86"/>
    </row>
    <row r="16" spans="1:13" x14ac:dyDescent="0.6">
      <c r="A16" s="384" t="s">
        <v>668</v>
      </c>
      <c r="B16" s="308">
        <f>Valuation!D20+Valuation!D21</f>
        <v>0</v>
      </c>
      <c r="C16" s="308">
        <f>Valuation!E20+Valuation!E21</f>
        <v>0</v>
      </c>
      <c r="D16" s="308">
        <f>Valuation!F20+Valuation!F21</f>
        <v>0</v>
      </c>
      <c r="E16" s="308">
        <f>Valuation!G20+Valuation!G21</f>
        <v>0</v>
      </c>
      <c r="F16" s="308">
        <f>Valuation!H20+Valuation!H21</f>
        <v>0</v>
      </c>
      <c r="G16" s="308">
        <f>Valuation!I20+Valuation!I21</f>
        <v>0</v>
      </c>
      <c r="H16" s="308">
        <f>Valuation!J20+Valuation!J21</f>
        <v>0</v>
      </c>
      <c r="I16" s="308">
        <f>Valuation!K20+Valuation!K21</f>
        <v>0</v>
      </c>
      <c r="J16" s="308">
        <f>Valuation!L20+Valuation!L21</f>
        <v>0</v>
      </c>
      <c r="K16" s="308">
        <f>Valuation!M20+Valuation!M21</f>
        <v>0</v>
      </c>
      <c r="L16" s="308">
        <f>Valuation!N20+Valuation!N21</f>
        <v>0</v>
      </c>
      <c r="M16" s="308">
        <f>Valuation!O20+Valuation!O21</f>
        <v>0</v>
      </c>
    </row>
  </sheetData>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F14B0-E734-4B50-877B-24364E551620}">
  <dimension ref="B1:L43"/>
  <sheetViews>
    <sheetView showGridLines="0" topLeftCell="A16" zoomScale="80" zoomScaleNormal="80" workbookViewId="0">
      <selection activeCell="G7" sqref="G7"/>
    </sheetView>
  </sheetViews>
  <sheetFormatPr defaultColWidth="8.69921875" defaultRowHeight="14.4" x14ac:dyDescent="0.55000000000000004"/>
  <cols>
    <col min="1" max="1" width="8.69921875" style="32"/>
    <col min="2" max="2" width="22.69921875" style="32" bestFit="1" customWidth="1"/>
    <col min="3" max="5" width="8.69921875" style="328" customWidth="1"/>
    <col min="6" max="6" width="9.5" style="328" bestFit="1" customWidth="1"/>
    <col min="7" max="7" width="8.69921875" style="328" customWidth="1"/>
    <col min="8" max="11" width="8.69921875" style="32" customWidth="1"/>
    <col min="12" max="16384" width="8.69921875" style="32"/>
  </cols>
  <sheetData>
    <row r="1" spans="2:12" customFormat="1" ht="15.6" x14ac:dyDescent="0.6"/>
    <row r="2" spans="2:12" customFormat="1" ht="15.6" x14ac:dyDescent="0.6">
      <c r="B2" s="320" t="s">
        <v>132</v>
      </c>
      <c r="C2" s="321">
        <v>2018</v>
      </c>
      <c r="D2" s="321">
        <v>2019</v>
      </c>
      <c r="E2" s="321">
        <v>2020</v>
      </c>
      <c r="F2" s="321">
        <v>2021</v>
      </c>
      <c r="G2" s="321">
        <v>2022</v>
      </c>
      <c r="H2" s="321">
        <v>2023</v>
      </c>
      <c r="I2" s="321">
        <v>2024</v>
      </c>
      <c r="J2" s="321">
        <v>2025</v>
      </c>
      <c r="K2" s="321">
        <v>2026</v>
      </c>
      <c r="L2" s="32"/>
    </row>
    <row r="3" spans="2:12" customFormat="1" ht="15.6" x14ac:dyDescent="0.6">
      <c r="B3" s="322" t="s">
        <v>529</v>
      </c>
      <c r="C3" s="744">
        <f>C10/C12</f>
        <v>0.85757839721254359</v>
      </c>
      <c r="D3" s="744">
        <f t="shared" ref="D3:K3" si="0">D10/D12</f>
        <v>0.3593149683460623</v>
      </c>
      <c r="E3" s="744">
        <f t="shared" si="0"/>
        <v>0.26066703403665803</v>
      </c>
      <c r="F3" s="744">
        <f t="shared" si="0"/>
        <v>0.21787140026644919</v>
      </c>
      <c r="G3" s="744">
        <f t="shared" si="0"/>
        <v>0.17498952820427605</v>
      </c>
      <c r="H3" s="744">
        <f t="shared" si="0"/>
        <v>0.13565561576700508</v>
      </c>
      <c r="I3" s="744">
        <f t="shared" ca="1" si="0"/>
        <v>0.12717713978156728</v>
      </c>
      <c r="J3" s="744">
        <f t="shared" ca="1" si="0"/>
        <v>0.11304634647250426</v>
      </c>
      <c r="K3" s="744">
        <f t="shared" ca="1" si="0"/>
        <v>0.11304634647250425</v>
      </c>
      <c r="L3" s="32"/>
    </row>
    <row r="4" spans="2:12" customFormat="1" ht="15.6" x14ac:dyDescent="0.6">
      <c r="B4" s="324" t="s">
        <v>527</v>
      </c>
      <c r="C4" s="316">
        <f>Master!C224/Master!C181</f>
        <v>0.10650441524876159</v>
      </c>
      <c r="D4" s="316">
        <f>Master!D224/Master!D181</f>
        <v>9.0562130177514813E-2</v>
      </c>
      <c r="E4" s="316">
        <f>Master!E224/Master!E181</f>
        <v>4.3026802132622673E-2</v>
      </c>
      <c r="F4" s="316">
        <f>Master!F224/Master!F181</f>
        <v>0.22370802819143309</v>
      </c>
      <c r="G4" s="316">
        <f>Master!G224/Master!G181</f>
        <v>0.16347630302442742</v>
      </c>
      <c r="H4" s="316">
        <f>Master!H224/Master!H181</f>
        <v>0.14777905187311238</v>
      </c>
      <c r="I4" s="316">
        <f ca="1">Master!I224/Master!I181</f>
        <v>0.1770984549204368</v>
      </c>
      <c r="J4" s="316">
        <f ca="1">Master!J224/Master!J181</f>
        <v>0.18447669965909513</v>
      </c>
      <c r="K4" s="316">
        <f ca="1">Master!K224/Master!K181</f>
        <v>0.20318067202774026</v>
      </c>
      <c r="L4" s="32"/>
    </row>
    <row r="5" spans="2:12" customFormat="1" ht="15.75" customHeight="1" x14ac:dyDescent="0.6">
      <c r="B5" s="322" t="s">
        <v>528</v>
      </c>
      <c r="C5" s="317">
        <f>Drivers!C35/Master!C224</f>
        <v>5.4728682170542635</v>
      </c>
      <c r="D5" s="317">
        <f>Drivers!D35/Master!D224</f>
        <v>4.6463573995426328</v>
      </c>
      <c r="E5" s="317">
        <f>Drivers!E35/Master!E224</f>
        <v>7.1016333745613984</v>
      </c>
      <c r="F5" s="317">
        <f>Drivers!F35/Master!F224</f>
        <v>1.3450207887783141</v>
      </c>
      <c r="G5" s="317">
        <f>Drivers!G35/Master!G224</f>
        <v>2.0257324875671845</v>
      </c>
      <c r="H5" s="317">
        <f>Drivers!H35/Master!H224</f>
        <v>2.438063263495061</v>
      </c>
      <c r="I5" s="317">
        <f>Drivers!I35/Master!I224</f>
        <v>2.2874237024808881</v>
      </c>
      <c r="J5" s="317">
        <f>Drivers!J35/Master!J224</f>
        <v>2.3160889471239958</v>
      </c>
      <c r="K5" s="317">
        <f>Drivers!K35/Master!K224</f>
        <v>2.3036403099887264</v>
      </c>
      <c r="L5" s="32"/>
    </row>
    <row r="6" spans="2:12" customFormat="1" ht="15.6" x14ac:dyDescent="0.6">
      <c r="B6" s="325" t="s">
        <v>530</v>
      </c>
      <c r="C6" s="318">
        <f>Master!E62/AVERAGE(Master!D181:E181)</f>
        <v>-2.0245513049907127E-2</v>
      </c>
      <c r="D6" s="318">
        <f>Master!F62/AVERAGE(Master!E181:F181)</f>
        <v>-1.1078365449861937E-2</v>
      </c>
      <c r="E6" s="318">
        <f>Master!G62/AVERAGE(Master!F181:G181)</f>
        <v>-1.4619897786610174E-2</v>
      </c>
      <c r="F6" s="318">
        <f>Master!H62/AVERAGE(Master!G181:H181)</f>
        <v>2.8202699050172413E-2</v>
      </c>
      <c r="G6" s="318">
        <f ca="1">Master!I62/AVERAGE(Master!H181:I181)</f>
        <v>4.2915885580039864E-2</v>
      </c>
      <c r="H6" s="318">
        <f ca="1">Master!J62/AVERAGE(Master!I181:J181)</f>
        <v>5.2377269373661897E-2</v>
      </c>
      <c r="I6" s="318">
        <f ca="1">Master!K62/AVERAGE(Master!J181:K181)</f>
        <v>5.6168830841173634E-2</v>
      </c>
      <c r="J6" s="318">
        <f ca="1">Master!L62/AVERAGE(Master!K181:L181)</f>
        <v>6.0774339635195525E-2</v>
      </c>
      <c r="K6" s="318">
        <f ca="1">Master!M62/AVERAGE(Master!L181:M181)</f>
        <v>6.2630647484513927E-2</v>
      </c>
      <c r="L6" s="32"/>
    </row>
    <row r="7" spans="2:12" customFormat="1" ht="15.6" x14ac:dyDescent="0.6">
      <c r="B7" s="322" t="s">
        <v>531</v>
      </c>
      <c r="C7" s="326">
        <f>Drivers!C35/Master!C212</f>
        <v>2.5827898838873864</v>
      </c>
      <c r="D7" s="326">
        <f>Drivers!D35/Master!D212</f>
        <v>1.0561785236892915</v>
      </c>
      <c r="E7" s="326">
        <f>Drivers!E35/Master!E212</f>
        <v>0.55707811803171925</v>
      </c>
      <c r="F7" s="326">
        <f>Drivers!F35/Master!F212</f>
        <v>0.61809502136066952</v>
      </c>
      <c r="G7" s="326">
        <f>Drivers!G35/Master!G212</f>
        <v>0.62664473684210531</v>
      </c>
      <c r="H7" s="326">
        <f>Drivers!H35/Master!H212</f>
        <v>0.65915326495293569</v>
      </c>
      <c r="I7" s="326">
        <f>Drivers!I35/Master!I212</f>
        <v>0.6345790970134676</v>
      </c>
      <c r="J7" s="326">
        <f>Drivers!J35/Master!J212</f>
        <v>0.66050880825271352</v>
      </c>
      <c r="K7" s="326">
        <f>Drivers!K35/Master!K212</f>
        <v>0.73130310687825695</v>
      </c>
      <c r="L7" s="32"/>
    </row>
    <row r="8" spans="2:12" customFormat="1" ht="15.6" x14ac:dyDescent="0.6">
      <c r="B8" s="325"/>
      <c r="C8" s="327"/>
      <c r="D8" s="327"/>
      <c r="E8" s="327"/>
      <c r="F8" s="327"/>
      <c r="G8" s="325"/>
      <c r="J8" s="325"/>
      <c r="K8" s="327"/>
      <c r="L8" s="327"/>
    </row>
    <row r="9" spans="2:12" customFormat="1" ht="15.6" x14ac:dyDescent="0.6">
      <c r="B9" t="s">
        <v>132</v>
      </c>
      <c r="F9" s="19">
        <v>2021</v>
      </c>
    </row>
    <row r="10" spans="2:12" x14ac:dyDescent="0.55000000000000004">
      <c r="B10" s="32" t="s">
        <v>532</v>
      </c>
      <c r="C10" s="50">
        <v>19690</v>
      </c>
      <c r="D10" s="50">
        <v>46200</v>
      </c>
      <c r="E10" s="50">
        <v>101229</v>
      </c>
      <c r="F10" s="50">
        <v>467225</v>
      </c>
      <c r="G10" s="50">
        <v>608682</v>
      </c>
      <c r="H10" s="330">
        <f>H11*Master!H$181*1000</f>
        <v>881943.95928873972</v>
      </c>
      <c r="I10" s="330">
        <f ca="1">I11*Master!I$181*1000</f>
        <v>958989.03883239557</v>
      </c>
      <c r="J10" s="330">
        <f ca="1">J11*Master!J$181*1000</f>
        <v>1231615.8562154931</v>
      </c>
      <c r="K10" s="330">
        <f ca="1">K11*Master!K$181*1000</f>
        <v>1495141.271548389</v>
      </c>
    </row>
    <row r="11" spans="2:12" s="282" customFormat="1" ht="12.9" x14ac:dyDescent="0.5">
      <c r="B11" s="24" t="s">
        <v>535</v>
      </c>
      <c r="C11" s="45">
        <f>C10/(Master!C$181*1000)</f>
        <v>7.0679876516620017E-3</v>
      </c>
      <c r="D11" s="45">
        <f>D10/(Master!D$181*1000)</f>
        <v>6.8343195266272203E-3</v>
      </c>
      <c r="E11" s="45">
        <f>E10/(Master!E$181*1000)</f>
        <v>9.9419314153920569E-3</v>
      </c>
      <c r="F11" s="45">
        <f>F10/(Master!F$181*1000)</f>
        <v>2.3527522530853929E-2</v>
      </c>
      <c r="G11" s="45">
        <f>G10/(Master!G$181*1000)</f>
        <v>2.0348342365050762E-2</v>
      </c>
      <c r="H11" s="184">
        <f>G11</f>
        <v>2.0348342365050762E-2</v>
      </c>
      <c r="I11" s="184">
        <f t="shared" ref="I11:K13" si="1">H11</f>
        <v>2.0348342365050762E-2</v>
      </c>
      <c r="J11" s="184">
        <f t="shared" si="1"/>
        <v>2.0348342365050762E-2</v>
      </c>
      <c r="K11" s="184">
        <f t="shared" si="1"/>
        <v>2.0348342365050762E-2</v>
      </c>
    </row>
    <row r="12" spans="2:12" x14ac:dyDescent="0.55000000000000004">
      <c r="B12" s="32" t="s">
        <v>533</v>
      </c>
      <c r="C12" s="50">
        <v>22960</v>
      </c>
      <c r="D12" s="50">
        <v>128578</v>
      </c>
      <c r="E12" s="50">
        <v>388346</v>
      </c>
      <c r="F12" s="50">
        <v>2144499</v>
      </c>
      <c r="G12" s="50">
        <v>3478391</v>
      </c>
      <c r="H12" s="330">
        <f>H13*Master!H$181*1000</f>
        <v>6501345</v>
      </c>
      <c r="I12" s="330">
        <f ca="1">I13*Master!I$181*1000</f>
        <v>7540577.1861161878</v>
      </c>
      <c r="J12" s="330">
        <f ca="1">J13*Master!J$181*1000</f>
        <v>10894786.913923426</v>
      </c>
      <c r="K12" s="330">
        <f ca="1">K13*Master!K$181*1000</f>
        <v>13225914.133474853</v>
      </c>
    </row>
    <row r="13" spans="2:12" ht="12.9" x14ac:dyDescent="0.5">
      <c r="B13" s="329" t="s">
        <v>535</v>
      </c>
      <c r="C13" s="319">
        <f>C12/(Master!C$181*1000)</f>
        <v>8.2417976882762593E-3</v>
      </c>
      <c r="D13" s="319">
        <f>D12/(Master!D$181*1000)</f>
        <v>1.9020414201183434E-2</v>
      </c>
      <c r="E13" s="319">
        <f>E12/(Master!E$181*1000)</f>
        <v>3.8140348096314725E-2</v>
      </c>
      <c r="F13" s="319">
        <f>F12/(Master!F$181*1000)</f>
        <v>0.10798811822974738</v>
      </c>
      <c r="G13" s="319">
        <f>G12/(Master!G$181*1000)</f>
        <v>0.1162832003369761</v>
      </c>
      <c r="H13" s="745">
        <v>0.15</v>
      </c>
      <c r="I13" s="745">
        <v>0.16</v>
      </c>
      <c r="J13" s="745">
        <v>0.18</v>
      </c>
      <c r="K13" s="184">
        <f t="shared" si="1"/>
        <v>0.18</v>
      </c>
    </row>
    <row r="14" spans="2:12" x14ac:dyDescent="0.55000000000000004">
      <c r="C14" s="332"/>
      <c r="D14" s="332"/>
      <c r="E14" s="332"/>
      <c r="F14" s="332"/>
    </row>
    <row r="16" spans="2:12" ht="12.9" x14ac:dyDescent="0.5">
      <c r="B16" s="320" t="s">
        <v>314</v>
      </c>
      <c r="C16" s="321">
        <v>2018</v>
      </c>
      <c r="D16" s="321">
        <v>2019</v>
      </c>
      <c r="E16" s="321">
        <v>2020</v>
      </c>
      <c r="F16" s="321">
        <v>2021</v>
      </c>
      <c r="G16" s="321">
        <v>2022</v>
      </c>
      <c r="H16" s="321">
        <v>2023</v>
      </c>
      <c r="I16" s="321">
        <v>2024</v>
      </c>
      <c r="J16" s="321">
        <v>2025</v>
      </c>
      <c r="K16" s="321">
        <v>2026</v>
      </c>
    </row>
    <row r="17" spans="2:11" ht="12.9" x14ac:dyDescent="0.5">
      <c r="B17" s="322" t="s">
        <v>529</v>
      </c>
      <c r="C17" s="323">
        <f>C24/C26</f>
        <v>0.29854706662783548</v>
      </c>
      <c r="D17" s="323">
        <f t="shared" ref="D17:K17" si="2">D24/D26</f>
        <v>0.39402037748454988</v>
      </c>
      <c r="E17" s="323">
        <f t="shared" si="2"/>
        <v>0.31829059934813786</v>
      </c>
      <c r="F17" s="323">
        <f t="shared" si="2"/>
        <v>0.49739467237135959</v>
      </c>
      <c r="G17" s="323" t="e">
        <f t="shared" si="2"/>
        <v>#DIV/0!</v>
      </c>
      <c r="H17" s="323" t="e">
        <f t="shared" si="2"/>
        <v>#DIV/0!</v>
      </c>
      <c r="I17" s="323" t="e">
        <f t="shared" si="2"/>
        <v>#DIV/0!</v>
      </c>
      <c r="J17" s="323" t="e">
        <f t="shared" si="2"/>
        <v>#DIV/0!</v>
      </c>
      <c r="K17" s="323" t="e">
        <f t="shared" si="2"/>
        <v>#DIV/0!</v>
      </c>
    </row>
    <row r="18" spans="2:11" x14ac:dyDescent="0.55000000000000004">
      <c r="B18" s="324" t="s">
        <v>527</v>
      </c>
      <c r="C18" s="313">
        <v>0.16822817094043091</v>
      </c>
      <c r="D18" s="313">
        <v>0.2195656601924505</v>
      </c>
      <c r="E18" s="313">
        <v>0.16925466048230833</v>
      </c>
      <c r="F18" s="313">
        <v>0.22269790696932718</v>
      </c>
      <c r="G18" s="313">
        <v>0.14419691163516357</v>
      </c>
      <c r="H18" s="313">
        <v>9.8762693663866211E-2</v>
      </c>
      <c r="I18" s="313">
        <v>8.5854812143952006E-2</v>
      </c>
      <c r="J18" s="313">
        <v>8.0566806385080111E-2</v>
      </c>
      <c r="K18" s="313">
        <v>7.5610355367666152E-2</v>
      </c>
    </row>
    <row r="19" spans="2:11" x14ac:dyDescent="0.55000000000000004">
      <c r="B19" s="322" t="s">
        <v>528</v>
      </c>
      <c r="C19" s="314">
        <v>3.5210270790180997</v>
      </c>
      <c r="D19" s="314">
        <v>2.301618055107578</v>
      </c>
      <c r="E19" s="314">
        <v>2.8201513126319186</v>
      </c>
      <c r="F19" s="314">
        <v>2.1352235070845755</v>
      </c>
      <c r="G19" s="314">
        <v>2.2341138433936938</v>
      </c>
      <c r="H19" s="314">
        <v>2.7105930510072507</v>
      </c>
      <c r="I19" s="314">
        <v>3.2324510330670573</v>
      </c>
      <c r="J19" s="314">
        <v>3.8434023127522368</v>
      </c>
      <c r="K19" s="314">
        <v>3.5745821494299097</v>
      </c>
    </row>
    <row r="20" spans="2:11" x14ac:dyDescent="0.55000000000000004">
      <c r="B20" s="325" t="s">
        <v>530</v>
      </c>
      <c r="C20" s="315">
        <v>1.5306987724780922E-2</v>
      </c>
      <c r="D20" s="315">
        <v>1.041689347877489E-2</v>
      </c>
      <c r="E20" s="315">
        <v>3.7419613673887752E-4</v>
      </c>
      <c r="F20" s="315">
        <v>5.340981524926759E-3</v>
      </c>
      <c r="G20" s="315">
        <v>-6.0248544222507583E-3</v>
      </c>
      <c r="H20" s="315">
        <v>-1.0317265837996008E-3</v>
      </c>
      <c r="I20" s="315">
        <v>1.2221605799848493E-3</v>
      </c>
      <c r="J20" s="315">
        <v>2.8656966708474575E-3</v>
      </c>
      <c r="K20" s="315">
        <v>4.898147124779313E-3</v>
      </c>
    </row>
    <row r="21" spans="2:11" x14ac:dyDescent="0.55000000000000004">
      <c r="B21" s="322" t="s">
        <v>531</v>
      </c>
      <c r="C21" s="331">
        <v>2.759991071719559</v>
      </c>
      <c r="D21" s="331">
        <v>1.0142082884387171</v>
      </c>
      <c r="E21" s="331">
        <v>0.76091907784534063</v>
      </c>
      <c r="F21" s="331">
        <v>0.74855531860962232</v>
      </c>
      <c r="G21" s="331">
        <v>0.44432902437877791</v>
      </c>
      <c r="H21" s="331">
        <v>0.3442147227366571</v>
      </c>
      <c r="I21" s="331">
        <v>0.3496265751135833</v>
      </c>
      <c r="J21" s="331">
        <v>0.38645256897058566</v>
      </c>
      <c r="K21" s="331">
        <v>0.33429904736548416</v>
      </c>
    </row>
    <row r="23" spans="2:11" ht="15.6" x14ac:dyDescent="0.6">
      <c r="B23" t="s">
        <v>314</v>
      </c>
      <c r="C23"/>
      <c r="D23"/>
      <c r="E23"/>
      <c r="F23" s="19" t="s">
        <v>534</v>
      </c>
    </row>
    <row r="24" spans="2:11" x14ac:dyDescent="0.55000000000000004">
      <c r="B24" s="32" t="s">
        <v>532</v>
      </c>
      <c r="C24" s="119">
        <v>922600</v>
      </c>
      <c r="D24" s="119">
        <v>2123100</v>
      </c>
      <c r="E24" s="119">
        <v>3086900</v>
      </c>
      <c r="F24" s="119">
        <v>7955023</v>
      </c>
    </row>
    <row r="25" spans="2:11" ht="12.9" x14ac:dyDescent="0.5">
      <c r="B25" s="24" t="s">
        <v>535</v>
      </c>
      <c r="C25" s="45">
        <f>C24/(Master!C$181*1000)</f>
        <v>0.33117955344963751</v>
      </c>
      <c r="D25" s="45">
        <f>D24/(Master!D$181*1000)</f>
        <v>0.31406804733727817</v>
      </c>
      <c r="E25" s="45">
        <f>E24/(Master!E$181*1000)</f>
        <v>0.30317150308877633</v>
      </c>
      <c r="F25" s="45">
        <f>F24/(Master!F$181*1000)</f>
        <v>0.40058212395732506</v>
      </c>
      <c r="G25" s="185">
        <v>0.03</v>
      </c>
      <c r="H25" s="184">
        <f>G25</f>
        <v>0.03</v>
      </c>
      <c r="I25" s="184">
        <f t="shared" ref="I25:K27" si="3">H25</f>
        <v>0.03</v>
      </c>
      <c r="J25" s="184">
        <f t="shared" si="3"/>
        <v>0.03</v>
      </c>
      <c r="K25" s="184">
        <f t="shared" si="3"/>
        <v>0.03</v>
      </c>
    </row>
    <row r="26" spans="2:11" x14ac:dyDescent="0.55000000000000004">
      <c r="B26" s="32" t="s">
        <v>533</v>
      </c>
      <c r="C26" s="50">
        <v>3090300</v>
      </c>
      <c r="D26" s="50">
        <v>5388300</v>
      </c>
      <c r="E26" s="50">
        <v>9698370</v>
      </c>
      <c r="F26" s="50">
        <v>15993382</v>
      </c>
    </row>
    <row r="27" spans="2:11" ht="12.9" x14ac:dyDescent="0.5">
      <c r="B27" s="24" t="s">
        <v>535</v>
      </c>
      <c r="C27" s="45">
        <f>C26/(Master!C$181*1000)</f>
        <v>1.1093043290975664</v>
      </c>
      <c r="D27" s="45">
        <f>D26/(Master!D$181*1000)</f>
        <v>0.79708579881656816</v>
      </c>
      <c r="E27" s="45">
        <f>E26/(Master!E$181*1000)</f>
        <v>0.95249908011632889</v>
      </c>
      <c r="F27" s="45">
        <f>F26/(Master!F$181*1000)</f>
        <v>0.80536070490567424</v>
      </c>
      <c r="G27" s="185">
        <v>0.03</v>
      </c>
      <c r="H27" s="184">
        <f>G27</f>
        <v>0.03</v>
      </c>
      <c r="I27" s="184">
        <f t="shared" si="3"/>
        <v>0.03</v>
      </c>
      <c r="J27" s="184">
        <f t="shared" si="3"/>
        <v>0.03</v>
      </c>
      <c r="K27" s="184">
        <f t="shared" si="3"/>
        <v>0.03</v>
      </c>
    </row>
    <row r="31" spans="2:11" x14ac:dyDescent="0.55000000000000004">
      <c r="B31" s="419" t="s">
        <v>746</v>
      </c>
    </row>
    <row r="33" spans="2:5" x14ac:dyDescent="0.55000000000000004">
      <c r="B33" s="32" t="s">
        <v>734</v>
      </c>
      <c r="C33" s="328">
        <v>5</v>
      </c>
      <c r="E33" s="414" t="s">
        <v>736</v>
      </c>
    </row>
    <row r="34" spans="2:5" x14ac:dyDescent="0.55000000000000004">
      <c r="B34" s="412" t="s">
        <v>735</v>
      </c>
      <c r="C34" s="413">
        <v>3</v>
      </c>
      <c r="E34" s="414" t="s">
        <v>737</v>
      </c>
    </row>
    <row r="35" spans="2:5" x14ac:dyDescent="0.55000000000000004">
      <c r="B35" s="32" t="s">
        <v>738</v>
      </c>
      <c r="C35" s="328">
        <f>C33+C34</f>
        <v>8</v>
      </c>
    </row>
    <row r="37" spans="2:5" x14ac:dyDescent="0.55000000000000004">
      <c r="C37" s="415" t="s">
        <v>747</v>
      </c>
      <c r="D37" s="415" t="s">
        <v>740</v>
      </c>
      <c r="E37" s="415" t="s">
        <v>743</v>
      </c>
    </row>
    <row r="38" spans="2:5" x14ac:dyDescent="0.55000000000000004">
      <c r="B38" s="32" t="s">
        <v>739</v>
      </c>
      <c r="C38" s="328">
        <v>5</v>
      </c>
      <c r="D38" s="416">
        <v>0.25</v>
      </c>
      <c r="E38" s="328">
        <f>C38*D38</f>
        <v>1.25</v>
      </c>
    </row>
    <row r="39" spans="2:5" x14ac:dyDescent="0.55000000000000004">
      <c r="B39" s="412" t="s">
        <v>741</v>
      </c>
      <c r="C39" s="413">
        <v>50</v>
      </c>
      <c r="D39" s="417">
        <v>0.55000000000000004</v>
      </c>
      <c r="E39" s="413">
        <f>C39*D39</f>
        <v>27.500000000000004</v>
      </c>
    </row>
    <row r="40" spans="2:5" x14ac:dyDescent="0.55000000000000004">
      <c r="B40" s="32" t="s">
        <v>742</v>
      </c>
      <c r="C40" s="328">
        <f>SUM(C38:C39)</f>
        <v>55</v>
      </c>
      <c r="E40" s="328">
        <f>SUM(E38:E39)</f>
        <v>28.750000000000004</v>
      </c>
    </row>
    <row r="42" spans="2:5" x14ac:dyDescent="0.55000000000000004">
      <c r="B42" s="32" t="s">
        <v>744</v>
      </c>
      <c r="C42" s="418">
        <f>C35/E40</f>
        <v>0.27826086956521734</v>
      </c>
    </row>
    <row r="43" spans="2:5" x14ac:dyDescent="0.55000000000000004">
      <c r="B43" s="32" t="s">
        <v>745</v>
      </c>
      <c r="C43" s="418">
        <f>C33/E40</f>
        <v>0.17391304347826084</v>
      </c>
    </row>
  </sheetData>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CA6A8-85BB-4E70-A78C-0A36797F51BB}">
  <dimension ref="A2:AP7"/>
  <sheetViews>
    <sheetView showGridLines="0" zoomScale="80" zoomScaleNormal="80" workbookViewId="0">
      <pane xSplit="2" ySplit="2" topLeftCell="W3" activePane="bottomRight" state="frozen"/>
      <selection pane="topRight" activeCell="C1" sqref="C1"/>
      <selection pane="bottomLeft" activeCell="A2" sqref="A2"/>
      <selection pane="bottomRight" activeCell="AH4" sqref="AH4"/>
    </sheetView>
  </sheetViews>
  <sheetFormatPr defaultColWidth="8.69921875" defaultRowHeight="15.6" x14ac:dyDescent="0.6"/>
  <cols>
    <col min="2" max="2" width="55.69921875" bestFit="1" customWidth="1"/>
    <col min="3" max="16" width="8.69921875" style="43" customWidth="1"/>
    <col min="17" max="17" width="15.09765625" style="43" bestFit="1" customWidth="1"/>
    <col min="18" max="18" width="12.19921875" style="43" bestFit="1" customWidth="1"/>
    <col min="19" max="21" width="8.69921875" style="43" customWidth="1"/>
    <col min="22" max="22" width="9.69921875" style="43" bestFit="1" customWidth="1"/>
    <col min="23" max="23" width="13.69921875" style="43" bestFit="1" customWidth="1"/>
    <col min="24" max="25" width="8.69921875" style="43" customWidth="1"/>
    <col min="26" max="26" width="16.19921875" style="43" bestFit="1" customWidth="1"/>
    <col min="27" max="27" width="9.69921875" style="43" bestFit="1" customWidth="1"/>
    <col min="28" max="28" width="6.19921875" style="43" bestFit="1" customWidth="1"/>
    <col min="29" max="29" width="11.69921875" style="43" bestFit="1" customWidth="1"/>
    <col min="30" max="30" width="8.69921875" style="43"/>
    <col min="31" max="31" width="19.69921875" style="43" bestFit="1" customWidth="1"/>
    <col min="32" max="32" width="28.69921875" style="43" bestFit="1" customWidth="1"/>
    <col min="33" max="33" width="23.09765625" style="64" bestFit="1" customWidth="1"/>
    <col min="34" max="34" width="18.59765625" style="43" bestFit="1" customWidth="1"/>
    <col min="35" max="42" width="8.69921875" style="43"/>
  </cols>
  <sheetData>
    <row r="2" spans="1:42" x14ac:dyDescent="0.6">
      <c r="B2" s="118" t="s">
        <v>187</v>
      </c>
      <c r="C2" s="120" t="s">
        <v>188</v>
      </c>
      <c r="D2" s="120" t="s">
        <v>189</v>
      </c>
      <c r="E2" s="120" t="s">
        <v>190</v>
      </c>
      <c r="F2" s="120" t="s">
        <v>191</v>
      </c>
      <c r="G2" s="120" t="s">
        <v>192</v>
      </c>
      <c r="H2" s="120" t="s">
        <v>193</v>
      </c>
      <c r="I2" s="120" t="s">
        <v>194</v>
      </c>
      <c r="J2" s="120" t="s">
        <v>195</v>
      </c>
      <c r="K2" s="120" t="s">
        <v>196</v>
      </c>
      <c r="L2" s="120" t="s">
        <v>197</v>
      </c>
      <c r="M2" s="120" t="s">
        <v>198</v>
      </c>
      <c r="N2" s="120" t="s">
        <v>199</v>
      </c>
      <c r="O2" s="120" t="s">
        <v>200</v>
      </c>
      <c r="P2" s="120" t="s">
        <v>201</v>
      </c>
      <c r="Q2" s="120" t="s">
        <v>202</v>
      </c>
      <c r="R2" s="120" t="s">
        <v>203</v>
      </c>
      <c r="S2" s="120" t="s">
        <v>204</v>
      </c>
      <c r="T2" s="120" t="s">
        <v>205</v>
      </c>
      <c r="U2" s="120" t="s">
        <v>206</v>
      </c>
      <c r="V2" s="120" t="s">
        <v>207</v>
      </c>
      <c r="W2" s="120" t="s">
        <v>208</v>
      </c>
      <c r="X2" s="120" t="s">
        <v>209</v>
      </c>
      <c r="Y2" s="120" t="s">
        <v>210</v>
      </c>
      <c r="Z2" s="120" t="s">
        <v>211</v>
      </c>
      <c r="AA2" s="120" t="s">
        <v>212</v>
      </c>
      <c r="AB2" s="120" t="s">
        <v>213</v>
      </c>
      <c r="AC2" s="25" t="s">
        <v>51</v>
      </c>
      <c r="AD2" s="25" t="s">
        <v>52</v>
      </c>
      <c r="AE2" s="25" t="s">
        <v>53</v>
      </c>
      <c r="AF2" s="25" t="s">
        <v>54</v>
      </c>
      <c r="AG2" s="103" t="s">
        <v>55</v>
      </c>
      <c r="AH2" s="70" t="s">
        <v>56</v>
      </c>
      <c r="AI2" s="70" t="s">
        <v>57</v>
      </c>
      <c r="AJ2" s="70" t="s">
        <v>58</v>
      </c>
      <c r="AK2" s="70" t="s">
        <v>59</v>
      </c>
      <c r="AL2" s="70" t="s">
        <v>60</v>
      </c>
      <c r="AM2" s="70" t="s">
        <v>61</v>
      </c>
      <c r="AN2" s="70" t="s">
        <v>62</v>
      </c>
      <c r="AO2" s="70" t="s">
        <v>63</v>
      </c>
      <c r="AP2" s="70" t="s">
        <v>64</v>
      </c>
    </row>
    <row r="3" spans="1:42" x14ac:dyDescent="0.6">
      <c r="B3" s="20" t="s">
        <v>136</v>
      </c>
      <c r="C3"/>
      <c r="D3"/>
      <c r="E3"/>
      <c r="F3"/>
      <c r="G3"/>
      <c r="H3"/>
      <c r="I3"/>
      <c r="J3"/>
      <c r="K3"/>
      <c r="L3"/>
      <c r="M3"/>
      <c r="N3"/>
      <c r="O3"/>
      <c r="P3"/>
      <c r="Q3"/>
      <c r="R3"/>
      <c r="S3"/>
      <c r="T3"/>
      <c r="U3"/>
      <c r="V3"/>
      <c r="W3"/>
      <c r="X3"/>
      <c r="Y3"/>
      <c r="Z3"/>
      <c r="AA3"/>
      <c r="AB3"/>
      <c r="AC3"/>
      <c r="AD3"/>
      <c r="AE3"/>
      <c r="AF3"/>
      <c r="AG3" s="22"/>
      <c r="AH3"/>
      <c r="AI3"/>
      <c r="AJ3"/>
      <c r="AK3"/>
      <c r="AL3"/>
      <c r="AM3"/>
      <c r="AN3"/>
      <c r="AO3"/>
      <c r="AP3"/>
    </row>
    <row r="4" spans="1:42" s="123" customFormat="1" ht="15.9" thickBot="1" x14ac:dyDescent="0.65">
      <c r="A4" s="101"/>
      <c r="B4" s="65" t="s">
        <v>186</v>
      </c>
      <c r="C4" s="121">
        <v>0</v>
      </c>
      <c r="D4" s="121">
        <v>0</v>
      </c>
      <c r="E4" s="121">
        <v>0</v>
      </c>
      <c r="F4" s="121">
        <v>0</v>
      </c>
      <c r="G4" s="121">
        <v>0</v>
      </c>
      <c r="H4" s="121">
        <v>0.1</v>
      </c>
      <c r="I4" s="121">
        <v>0.2</v>
      </c>
      <c r="J4" s="121">
        <v>0.3</v>
      </c>
      <c r="K4" s="121">
        <v>0.5</v>
      </c>
      <c r="L4" s="121">
        <v>0.7</v>
      </c>
      <c r="M4" s="121">
        <v>1</v>
      </c>
      <c r="N4" s="121">
        <v>1.2</v>
      </c>
      <c r="O4" s="121">
        <v>1.6</v>
      </c>
      <c r="P4" s="121">
        <v>1.9</v>
      </c>
      <c r="Q4" s="121">
        <v>2.4</v>
      </c>
      <c r="R4" s="121">
        <v>3</v>
      </c>
      <c r="S4" s="121">
        <v>3.7</v>
      </c>
      <c r="T4" s="121">
        <v>4.4000000000000004</v>
      </c>
      <c r="U4" s="121">
        <v>5.2</v>
      </c>
      <c r="V4" s="121">
        <v>6</v>
      </c>
      <c r="W4" s="121">
        <v>7.7</v>
      </c>
      <c r="X4" s="121">
        <v>11.2</v>
      </c>
      <c r="Y4" s="121">
        <v>15.6</v>
      </c>
      <c r="Z4" s="121">
        <v>20.100000000000001</v>
      </c>
      <c r="AA4" s="121">
        <v>23.5</v>
      </c>
      <c r="AB4" s="121">
        <v>26.1</v>
      </c>
      <c r="AC4" s="121">
        <v>29.7</v>
      </c>
      <c r="AD4" s="121">
        <v>33.299999999999997</v>
      </c>
      <c r="AE4" s="121">
        <v>37.1</v>
      </c>
      <c r="AF4" s="121">
        <v>41.7</v>
      </c>
      <c r="AG4" s="122">
        <v>48.1</v>
      </c>
      <c r="AH4" s="121">
        <v>53.9</v>
      </c>
      <c r="AI4" s="121"/>
      <c r="AJ4" s="121"/>
      <c r="AK4" s="121"/>
      <c r="AL4" s="121"/>
      <c r="AM4" s="121"/>
      <c r="AN4" s="121"/>
      <c r="AO4" s="121"/>
      <c r="AP4" s="121"/>
    </row>
    <row r="5" spans="1:42" x14ac:dyDescent="0.6">
      <c r="B5" s="92" t="s">
        <v>261</v>
      </c>
      <c r="C5" s="107"/>
      <c r="D5" s="144"/>
      <c r="G5" s="156" t="e">
        <f>G4/C4-1</f>
        <v>#DIV/0!</v>
      </c>
      <c r="H5" s="156" t="e">
        <f t="shared" ref="H5:AG5" si="0">H4/D4-1</f>
        <v>#DIV/0!</v>
      </c>
      <c r="I5" s="156" t="e">
        <f t="shared" si="0"/>
        <v>#DIV/0!</v>
      </c>
      <c r="J5" s="156" t="e">
        <f t="shared" si="0"/>
        <v>#DIV/0!</v>
      </c>
      <c r="K5" s="156" t="e">
        <f t="shared" si="0"/>
        <v>#DIV/0!</v>
      </c>
      <c r="L5" s="156">
        <f t="shared" si="0"/>
        <v>5.9999999999999991</v>
      </c>
      <c r="M5" s="156">
        <f t="shared" si="0"/>
        <v>4</v>
      </c>
      <c r="N5" s="156">
        <f t="shared" si="0"/>
        <v>3</v>
      </c>
      <c r="O5" s="156">
        <f t="shared" si="0"/>
        <v>2.2000000000000002</v>
      </c>
      <c r="P5" s="156">
        <f t="shared" si="0"/>
        <v>1.7142857142857144</v>
      </c>
      <c r="Q5" s="156">
        <f t="shared" si="0"/>
        <v>1.4</v>
      </c>
      <c r="R5" s="156">
        <f t="shared" si="0"/>
        <v>1.5</v>
      </c>
      <c r="S5" s="156">
        <f t="shared" si="0"/>
        <v>1.3125</v>
      </c>
      <c r="T5" s="156">
        <f t="shared" si="0"/>
        <v>1.3157894736842106</v>
      </c>
      <c r="U5" s="156">
        <f t="shared" si="0"/>
        <v>1.166666666666667</v>
      </c>
      <c r="V5" s="156">
        <f t="shared" si="0"/>
        <v>1</v>
      </c>
      <c r="W5" s="156">
        <f t="shared" si="0"/>
        <v>1.0810810810810811</v>
      </c>
      <c r="X5" s="156">
        <f t="shared" si="0"/>
        <v>1.545454545454545</v>
      </c>
      <c r="Y5" s="156">
        <f t="shared" si="0"/>
        <v>2</v>
      </c>
      <c r="Z5" s="156">
        <f t="shared" si="0"/>
        <v>2.35</v>
      </c>
      <c r="AA5" s="156">
        <f t="shared" si="0"/>
        <v>2.051948051948052</v>
      </c>
      <c r="AB5" s="156">
        <f t="shared" si="0"/>
        <v>1.3303571428571432</v>
      </c>
      <c r="AC5" s="156">
        <f t="shared" si="0"/>
        <v>0.90384615384615374</v>
      </c>
      <c r="AD5" s="156">
        <f t="shared" si="0"/>
        <v>0.65671641791044744</v>
      </c>
      <c r="AE5" s="156">
        <f t="shared" si="0"/>
        <v>0.57872340425531932</v>
      </c>
      <c r="AF5" s="156">
        <f t="shared" si="0"/>
        <v>0.59770114942528729</v>
      </c>
      <c r="AG5" s="164">
        <f t="shared" si="0"/>
        <v>0.6195286195286196</v>
      </c>
      <c r="AH5" s="156">
        <f t="shared" ref="AH5:AP6" si="1">AH4/AD4-1</f>
        <v>0.61861861861861867</v>
      </c>
      <c r="AI5" s="156">
        <f t="shared" si="1"/>
        <v>-1</v>
      </c>
      <c r="AJ5" s="156">
        <f t="shared" si="1"/>
        <v>-1</v>
      </c>
      <c r="AK5" s="156">
        <f t="shared" si="1"/>
        <v>-1</v>
      </c>
      <c r="AL5" s="156">
        <f t="shared" si="1"/>
        <v>-1</v>
      </c>
      <c r="AM5" s="156" t="e">
        <f t="shared" si="1"/>
        <v>#DIV/0!</v>
      </c>
      <c r="AN5" s="156" t="e">
        <f t="shared" si="1"/>
        <v>#DIV/0!</v>
      </c>
      <c r="AO5" s="156" t="e">
        <f t="shared" si="1"/>
        <v>#DIV/0!</v>
      </c>
      <c r="AP5" s="156" t="e">
        <f t="shared" si="1"/>
        <v>#DIV/0!</v>
      </c>
    </row>
    <row r="6" spans="1:42" x14ac:dyDescent="0.6">
      <c r="B6" s="92" t="s">
        <v>264</v>
      </c>
      <c r="C6" s="107"/>
      <c r="D6" s="144" t="e">
        <f>D4/C4-1</f>
        <v>#DIV/0!</v>
      </c>
      <c r="E6" s="144" t="e">
        <f t="shared" ref="E6:AG6" si="2">E4/D4-1</f>
        <v>#DIV/0!</v>
      </c>
      <c r="F6" s="144" t="e">
        <f t="shared" si="2"/>
        <v>#DIV/0!</v>
      </c>
      <c r="G6" s="144" t="e">
        <f t="shared" si="2"/>
        <v>#DIV/0!</v>
      </c>
      <c r="H6" s="144" t="e">
        <f t="shared" si="2"/>
        <v>#DIV/0!</v>
      </c>
      <c r="I6" s="144">
        <f t="shared" si="2"/>
        <v>1</v>
      </c>
      <c r="J6" s="144">
        <f t="shared" si="2"/>
        <v>0.49999999999999978</v>
      </c>
      <c r="K6" s="144">
        <f t="shared" si="2"/>
        <v>0.66666666666666674</v>
      </c>
      <c r="L6" s="144">
        <f t="shared" si="2"/>
        <v>0.39999999999999991</v>
      </c>
      <c r="M6" s="144">
        <f t="shared" si="2"/>
        <v>0.4285714285714286</v>
      </c>
      <c r="N6" s="144">
        <f t="shared" si="2"/>
        <v>0.19999999999999996</v>
      </c>
      <c r="O6" s="144">
        <f t="shared" si="2"/>
        <v>0.33333333333333348</v>
      </c>
      <c r="P6" s="144">
        <f t="shared" si="2"/>
        <v>0.18749999999999978</v>
      </c>
      <c r="Q6" s="144">
        <f t="shared" si="2"/>
        <v>0.26315789473684204</v>
      </c>
      <c r="R6" s="144">
        <f t="shared" si="2"/>
        <v>0.25</v>
      </c>
      <c r="S6" s="144">
        <f t="shared" si="2"/>
        <v>0.23333333333333339</v>
      </c>
      <c r="T6" s="144">
        <f t="shared" si="2"/>
        <v>0.18918918918918926</v>
      </c>
      <c r="U6" s="144">
        <f t="shared" si="2"/>
        <v>0.18181818181818166</v>
      </c>
      <c r="V6" s="144">
        <f t="shared" si="2"/>
        <v>0.15384615384615374</v>
      </c>
      <c r="W6" s="144">
        <f t="shared" si="2"/>
        <v>0.28333333333333344</v>
      </c>
      <c r="X6" s="144">
        <f t="shared" si="2"/>
        <v>0.45454545454545436</v>
      </c>
      <c r="Y6" s="144">
        <f t="shared" si="2"/>
        <v>0.39285714285714302</v>
      </c>
      <c r="Z6" s="144">
        <f t="shared" si="2"/>
        <v>0.28846153846153855</v>
      </c>
      <c r="AA6" s="144">
        <f t="shared" si="2"/>
        <v>0.16915422885572129</v>
      </c>
      <c r="AB6" s="144">
        <f t="shared" si="2"/>
        <v>0.11063829787234059</v>
      </c>
      <c r="AC6" s="144">
        <f t="shared" si="2"/>
        <v>0.13793103448275845</v>
      </c>
      <c r="AD6" s="144">
        <f t="shared" si="2"/>
        <v>0.1212121212121211</v>
      </c>
      <c r="AE6" s="144">
        <f t="shared" si="2"/>
        <v>0.11411411411411421</v>
      </c>
      <c r="AF6" s="144">
        <f t="shared" si="2"/>
        <v>0.12398921832884091</v>
      </c>
      <c r="AG6" s="145">
        <f t="shared" si="2"/>
        <v>0.1534772182254196</v>
      </c>
      <c r="AH6" s="156">
        <f t="shared" si="1"/>
        <v>-5.8012558012557447E-2</v>
      </c>
      <c r="AI6" s="156">
        <f t="shared" si="1"/>
        <v>-2.7279411764705879</v>
      </c>
      <c r="AJ6" s="156">
        <f t="shared" si="1"/>
        <v>-2.6730769230769234</v>
      </c>
      <c r="AK6" s="156">
        <f t="shared" si="1"/>
        <v>-2.6141304347826084</v>
      </c>
      <c r="AL6" s="156">
        <f t="shared" si="1"/>
        <v>-2.616504854368932</v>
      </c>
      <c r="AM6" s="156" t="e">
        <f t="shared" si="1"/>
        <v>#DIV/0!</v>
      </c>
      <c r="AN6" s="156" t="e">
        <f t="shared" si="1"/>
        <v>#DIV/0!</v>
      </c>
      <c r="AO6" s="156" t="e">
        <f t="shared" si="1"/>
        <v>#DIV/0!</v>
      </c>
      <c r="AP6" s="156" t="e">
        <f t="shared" si="1"/>
        <v>#DIV/0!</v>
      </c>
    </row>
    <row r="7" spans="1:42" x14ac:dyDescent="0.6">
      <c r="B7" t="s">
        <v>214</v>
      </c>
      <c r="Q7" s="124" t="s">
        <v>215</v>
      </c>
      <c r="R7" s="124" t="s">
        <v>216</v>
      </c>
      <c r="V7" s="124" t="s">
        <v>217</v>
      </c>
      <c r="W7" s="124" t="s">
        <v>218</v>
      </c>
      <c r="Z7" s="124" t="s">
        <v>219</v>
      </c>
      <c r="AA7" s="124" t="s">
        <v>220</v>
      </c>
      <c r="AB7" s="124" t="s">
        <v>221</v>
      </c>
      <c r="AC7" s="124" t="s">
        <v>222</v>
      </c>
      <c r="AE7" s="124" t="s">
        <v>223</v>
      </c>
      <c r="AF7" s="124" t="s">
        <v>224</v>
      </c>
      <c r="AG7" s="125" t="s">
        <v>225</v>
      </c>
      <c r="AH7" s="124" t="s">
        <v>226</v>
      </c>
    </row>
  </sheetData>
  <phoneticPr fontId="9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9E2EC-ABE1-4D8A-9A03-62BB8F525B4B}">
  <dimension ref="B1:AY231"/>
  <sheetViews>
    <sheetView zoomScale="72" zoomScaleNormal="100" workbookViewId="0">
      <pane xSplit="2" ySplit="2" topLeftCell="C80" activePane="bottomRight" state="frozen"/>
      <selection activeCell="B19" sqref="B19"/>
      <selection pane="topRight" activeCell="B19" sqref="B19"/>
      <selection pane="bottomLeft" activeCell="B19" sqref="B19"/>
      <selection pane="bottomRight" activeCell="I92" sqref="I92"/>
    </sheetView>
  </sheetViews>
  <sheetFormatPr defaultColWidth="8.69921875" defaultRowHeight="15.6" x14ac:dyDescent="0.6"/>
  <cols>
    <col min="1" max="1" width="8.69921875" style="43"/>
    <col min="2" max="2" width="42.59765625" style="17" customWidth="1"/>
    <col min="3" max="5" width="8.19921875" style="17" customWidth="1"/>
    <col min="6" max="15" width="8.19921875" style="43" customWidth="1"/>
    <col min="16" max="19" width="8.69921875" style="43"/>
    <col min="51" max="16384" width="8.69921875" style="43"/>
  </cols>
  <sheetData>
    <row r="1" spans="2:19" s="19" customFormat="1" x14ac:dyDescent="0.6">
      <c r="B1" s="261" t="s">
        <v>372</v>
      </c>
      <c r="C1" s="17">
        <v>2018</v>
      </c>
      <c r="D1" s="17">
        <v>2019</v>
      </c>
      <c r="E1" s="17">
        <v>2020</v>
      </c>
      <c r="F1" s="17">
        <v>2021</v>
      </c>
      <c r="G1" s="17">
        <v>2022</v>
      </c>
      <c r="H1" s="17">
        <v>2023</v>
      </c>
      <c r="I1" s="18">
        <v>2024</v>
      </c>
      <c r="J1" s="18">
        <v>2025</v>
      </c>
      <c r="K1" s="18">
        <v>2026</v>
      </c>
      <c r="L1" s="18">
        <v>2027</v>
      </c>
      <c r="M1" s="18">
        <v>2028</v>
      </c>
      <c r="N1" s="18">
        <v>2029</v>
      </c>
      <c r="O1" s="18">
        <v>2030</v>
      </c>
      <c r="P1"/>
      <c r="Q1"/>
      <c r="R1"/>
      <c r="S1"/>
    </row>
    <row r="2" spans="2:19" customFormat="1" x14ac:dyDescent="0.6">
      <c r="B2" s="20" t="s">
        <v>136</v>
      </c>
      <c r="C2" s="21" t="s">
        <v>7</v>
      </c>
      <c r="D2" s="21" t="s">
        <v>7</v>
      </c>
      <c r="E2" s="21" t="s">
        <v>7</v>
      </c>
      <c r="F2" s="21" t="s">
        <v>7</v>
      </c>
      <c r="G2" s="21" t="s">
        <v>7</v>
      </c>
      <c r="H2" s="21" t="s">
        <v>7</v>
      </c>
      <c r="I2" s="21" t="s">
        <v>8</v>
      </c>
      <c r="J2" s="21" t="s">
        <v>8</v>
      </c>
      <c r="K2" s="21" t="s">
        <v>8</v>
      </c>
      <c r="L2" s="21" t="s">
        <v>8</v>
      </c>
      <c r="M2" s="21" t="s">
        <v>8</v>
      </c>
      <c r="N2" s="21" t="s">
        <v>8</v>
      </c>
      <c r="O2" s="21" t="s">
        <v>8</v>
      </c>
    </row>
    <row r="3" spans="2:19" customFormat="1" x14ac:dyDescent="0.6">
      <c r="B3" s="20" t="s">
        <v>9</v>
      </c>
    </row>
    <row r="4" spans="2:19" s="88" customFormat="1" ht="15.9" thickBot="1" x14ac:dyDescent="0.65">
      <c r="B4" s="87" t="s">
        <v>133</v>
      </c>
      <c r="C4" s="109">
        <f>SUM(C5:C6)</f>
        <v>318.89999999999998</v>
      </c>
      <c r="D4" s="109">
        <f>SUM(D5:D6)</f>
        <v>612.09999999999991</v>
      </c>
      <c r="E4" s="109">
        <f>SUM(E5:E6)</f>
        <v>737.1</v>
      </c>
      <c r="F4" s="109">
        <f t="shared" ref="F4:O4" si="0">SUM(F5:F6)</f>
        <v>1696.9561700000002</v>
      </c>
      <c r="G4" s="109">
        <f t="shared" si="0"/>
        <v>4790.1710000000003</v>
      </c>
      <c r="H4" s="109">
        <f t="shared" si="0"/>
        <v>8028</v>
      </c>
      <c r="I4" s="109">
        <f t="shared" si="0"/>
        <v>11957.660811218131</v>
      </c>
      <c r="J4" s="109">
        <f t="shared" si="0"/>
        <v>15243.865667997801</v>
      </c>
      <c r="K4" s="109">
        <f t="shared" si="0"/>
        <v>18710.883180114535</v>
      </c>
      <c r="L4" s="109">
        <f t="shared" si="0"/>
        <v>21834.967731681201</v>
      </c>
      <c r="M4" s="109">
        <f t="shared" si="0"/>
        <v>24595.326169498534</v>
      </c>
      <c r="N4" s="109">
        <f t="shared" si="0"/>
        <v>27227.728042218161</v>
      </c>
      <c r="O4" s="109">
        <f t="shared" si="0"/>
        <v>30428.892243091002</v>
      </c>
    </row>
    <row r="5" spans="2:19" s="32" customFormat="1" ht="14.4" x14ac:dyDescent="0.55000000000000004">
      <c r="B5" s="29" t="s">
        <v>87</v>
      </c>
      <c r="C5" s="151">
        <v>161.6</v>
      </c>
      <c r="D5" s="151">
        <v>337.9</v>
      </c>
      <c r="E5" s="44">
        <f>'Revenue and Expenses breakdown'!D7</f>
        <v>382.9</v>
      </c>
      <c r="F5" s="44">
        <f>'Revenue and Expenses breakdown'!E7</f>
        <v>1045.6791700000001</v>
      </c>
      <c r="G5" s="44">
        <f>'Revenue and Expenses breakdown'!F7</f>
        <v>3555.1709999999998</v>
      </c>
      <c r="H5" s="44">
        <f>'Revenue and Expenses breakdown'!G7</f>
        <v>6439</v>
      </c>
      <c r="I5" s="44">
        <f>'Revenue and Expenses breakdown'!H7</f>
        <v>10103.201107666722</v>
      </c>
      <c r="J5" s="44">
        <f>'Revenue and Expenses breakdown'!I7</f>
        <v>12802.34748502066</v>
      </c>
      <c r="K5" s="44">
        <f>'Revenue and Expenses breakdown'!J7</f>
        <v>15676.722571018654</v>
      </c>
      <c r="L5" s="44">
        <f>'Revenue and Expenses breakdown'!K7</f>
        <v>18149.875487622608</v>
      </c>
      <c r="M5" s="44">
        <f>'Revenue and Expenses breakdown'!L7</f>
        <v>20452.62858847492</v>
      </c>
      <c r="N5" s="44">
        <f>'Revenue and Expenses breakdown'!M7</f>
        <v>22658.005607778337</v>
      </c>
      <c r="O5" s="44">
        <f>'Revenue and Expenses breakdown'!N7</f>
        <v>25424.743042915678</v>
      </c>
    </row>
    <row r="6" spans="2:19" s="32" customFormat="1" ht="14.4" x14ac:dyDescent="0.55000000000000004">
      <c r="B6" s="29" t="s">
        <v>88</v>
      </c>
      <c r="C6" s="151">
        <v>157.30000000000001</v>
      </c>
      <c r="D6" s="151">
        <v>274.2</v>
      </c>
      <c r="E6" s="44">
        <f>'Revenue and Expenses breakdown'!D31</f>
        <v>354.20000000000005</v>
      </c>
      <c r="F6" s="44">
        <f>'Revenue and Expenses breakdown'!E31</f>
        <v>651.27700000000004</v>
      </c>
      <c r="G6" s="44">
        <f>'Revenue and Expenses breakdown'!F31</f>
        <v>1235</v>
      </c>
      <c r="H6" s="44">
        <f>'Revenue and Expenses breakdown'!G31</f>
        <v>1589</v>
      </c>
      <c r="I6" s="44">
        <f>'Revenue and Expenses breakdown'!H31</f>
        <v>1854.4597035514084</v>
      </c>
      <c r="J6" s="44">
        <f>'Revenue and Expenses breakdown'!I31</f>
        <v>2441.5181829771404</v>
      </c>
      <c r="K6" s="44">
        <f>'Revenue and Expenses breakdown'!J31</f>
        <v>3034.1606090958821</v>
      </c>
      <c r="L6" s="44">
        <f>'Revenue and Expenses breakdown'!K31</f>
        <v>3685.0922440585928</v>
      </c>
      <c r="M6" s="44">
        <f>'Revenue and Expenses breakdown'!L31</f>
        <v>4142.6975810236136</v>
      </c>
      <c r="N6" s="44">
        <f>'Revenue and Expenses breakdown'!M31</f>
        <v>4569.7224344398228</v>
      </c>
      <c r="O6" s="44">
        <f>'Revenue and Expenses breakdown'!N31</f>
        <v>5004.1492001753231</v>
      </c>
    </row>
    <row r="7" spans="2:19" s="32" customFormat="1" ht="14.4" x14ac:dyDescent="0.55000000000000004">
      <c r="B7" s="17"/>
      <c r="C7" s="34"/>
      <c r="D7" s="34"/>
      <c r="E7" s="34"/>
    </row>
    <row r="8" spans="2:19" s="32" customFormat="1" ht="14.4" x14ac:dyDescent="0.55000000000000004">
      <c r="B8" s="29" t="s">
        <v>89</v>
      </c>
      <c r="C8" s="151">
        <v>-45.4</v>
      </c>
      <c r="D8" s="151">
        <v>-109.7</v>
      </c>
      <c r="E8" s="36">
        <f>'Revenue and Expenses breakdown'!D70</f>
        <v>-113.9</v>
      </c>
      <c r="F8" s="36">
        <f>'Revenue and Expenses breakdown'!E70</f>
        <v>-367.34399999999999</v>
      </c>
      <c r="G8" s="36">
        <f>'Revenue and Expenses breakdown'!F70</f>
        <v>-1548</v>
      </c>
      <c r="H8" s="36">
        <f>'Revenue and Expenses breakdown'!G70</f>
        <v>-2036</v>
      </c>
      <c r="I8" s="36">
        <f>'Revenue and Expenses breakdown'!H70</f>
        <v>-2844.4204600881767</v>
      </c>
      <c r="J8" s="36">
        <f>'Revenue and Expenses breakdown'!I70</f>
        <v>-3461.6073036878447</v>
      </c>
      <c r="K8" s="36">
        <f>'Revenue and Expenses breakdown'!J70</f>
        <v>-4006.2684307533441</v>
      </c>
      <c r="L8" s="36">
        <f>'Revenue and Expenses breakdown'!K70</f>
        <v>-4470.6273251791217</v>
      </c>
      <c r="M8" s="36">
        <f>'Revenue and Expenses breakdown'!L70</f>
        <v>-5152.1537430362087</v>
      </c>
      <c r="N8" s="36">
        <f>'Revenue and Expenses breakdown'!M70</f>
        <v>-5842.4118397407856</v>
      </c>
      <c r="O8" s="36">
        <f>'Revenue and Expenses breakdown'!N70</f>
        <v>-6548.3490894185179</v>
      </c>
    </row>
    <row r="9" spans="2:19" s="32" customFormat="1" ht="12.9" x14ac:dyDescent="0.5">
      <c r="B9" s="37" t="s">
        <v>10</v>
      </c>
      <c r="C9" s="38">
        <f>C8/C$4</f>
        <v>-0.14236437754782064</v>
      </c>
      <c r="D9" s="38">
        <f>D8/D$4</f>
        <v>-0.17921908184937105</v>
      </c>
      <c r="E9" s="38">
        <f>E8/E$4</f>
        <v>-0.15452448785782119</v>
      </c>
      <c r="F9" s="39">
        <f t="shared" ref="F9:O9" si="1">-F8/F$4</f>
        <v>0.21647229698336873</v>
      </c>
      <c r="G9" s="39">
        <f t="shared" si="1"/>
        <v>0.3231617409900398</v>
      </c>
      <c r="H9" s="39">
        <f t="shared" si="1"/>
        <v>0.25361235675137023</v>
      </c>
      <c r="I9" s="39">
        <f t="shared" si="1"/>
        <v>0.23787432216003915</v>
      </c>
      <c r="J9" s="39">
        <f t="shared" si="1"/>
        <v>0.22708198688440082</v>
      </c>
      <c r="K9" s="39">
        <f t="shared" si="1"/>
        <v>0.21411434148715691</v>
      </c>
      <c r="L9" s="39">
        <f t="shared" si="1"/>
        <v>0.20474622999751518</v>
      </c>
      <c r="M9" s="39">
        <f t="shared" si="1"/>
        <v>0.20947694320173571</v>
      </c>
      <c r="N9" s="39">
        <f t="shared" si="1"/>
        <v>0.21457581149193899</v>
      </c>
      <c r="O9" s="39">
        <f t="shared" si="1"/>
        <v>0.21520169177060153</v>
      </c>
    </row>
    <row r="10" spans="2:19" s="32" customFormat="1" ht="14.4" x14ac:dyDescent="0.55000000000000004">
      <c r="B10" s="370" t="s">
        <v>599</v>
      </c>
      <c r="C10" s="151">
        <v>-43.2</v>
      </c>
      <c r="D10" s="151">
        <v>-79.3</v>
      </c>
      <c r="E10" s="36">
        <f>'Revenue and Expenses breakdown'!D78</f>
        <v>-126.8</v>
      </c>
      <c r="F10" s="36">
        <f>'Revenue and Expenses breakdown'!E78</f>
        <v>-117.11899999999999</v>
      </c>
      <c r="G10" s="36">
        <f>'Revenue and Expenses breakdown'!F78</f>
        <v>-174</v>
      </c>
      <c r="H10" s="36">
        <f>'Revenue and Expenses breakdown'!G78</f>
        <v>-215</v>
      </c>
      <c r="I10" s="36">
        <f>'Revenue and Expenses breakdown'!H78</f>
        <v>-268.75</v>
      </c>
      <c r="J10" s="36">
        <f>'Revenue and Expenses breakdown'!I78</f>
        <v>-349.375</v>
      </c>
      <c r="K10" s="36">
        <f>'Revenue and Expenses breakdown'!J78</f>
        <v>-442.25346130044193</v>
      </c>
      <c r="L10" s="36">
        <f>'Revenue and Expenses breakdown'!K78</f>
        <v>-541.97984721637488</v>
      </c>
      <c r="M10" s="36">
        <f>'Revenue and Expenses breakdown'!L78</f>
        <v>-606.37484191264946</v>
      </c>
      <c r="N10" s="36">
        <f>'Revenue and Expenses breakdown'!M78</f>
        <v>-664.43353460594312</v>
      </c>
      <c r="O10" s="36">
        <f>'Revenue and Expenses breakdown'!N78</f>
        <v>-722.65404533417609</v>
      </c>
    </row>
    <row r="11" spans="2:19" s="32" customFormat="1" ht="12.9" x14ac:dyDescent="0.5">
      <c r="B11" s="37"/>
      <c r="C11" s="90"/>
      <c r="D11" s="90"/>
      <c r="E11" s="90"/>
    </row>
    <row r="12" spans="2:19" s="32" customFormat="1" ht="14.4" x14ac:dyDescent="0.55000000000000004">
      <c r="B12" s="29" t="s">
        <v>90</v>
      </c>
      <c r="C12" s="151">
        <v>-118.6</v>
      </c>
      <c r="D12" s="151">
        <v>-175.2</v>
      </c>
      <c r="E12" s="44">
        <f>'Revenue and Expenses breakdown'!D84</f>
        <v>-169.5</v>
      </c>
      <c r="F12" s="44">
        <f>'Revenue and Expenses breakdown'!E84</f>
        <v>-480.64299999999997</v>
      </c>
      <c r="G12" s="44">
        <f>'Revenue and Expenses breakdown'!F84</f>
        <v>-1405</v>
      </c>
      <c r="H12" s="44">
        <f>'Revenue and Expenses breakdown'!G84</f>
        <v>-2285</v>
      </c>
      <c r="I12" s="44">
        <f>'Revenue and Expenses breakdown'!H84</f>
        <v>-3397.7659999999996</v>
      </c>
      <c r="J12" s="44">
        <f>'Revenue and Expenses breakdown'!I84</f>
        <v>-4216.4800000000005</v>
      </c>
      <c r="K12" s="44">
        <f>'Revenue and Expenses breakdown'!J84</f>
        <v>-5153.5</v>
      </c>
      <c r="L12" s="44">
        <f>'Revenue and Expenses breakdown'!K84</f>
        <v>-5584.42</v>
      </c>
      <c r="M12" s="44">
        <f>'Revenue and Expenses breakdown'!L84</f>
        <v>-5883.5</v>
      </c>
      <c r="N12" s="44">
        <f>'Revenue and Expenses breakdown'!M84</f>
        <v>-6314.42</v>
      </c>
      <c r="O12" s="44">
        <f>'Revenue and Expenses breakdown'!N84</f>
        <v>-6613.5000000000009</v>
      </c>
    </row>
    <row r="13" spans="2:19" s="32" customFormat="1" ht="14.4" x14ac:dyDescent="0.55000000000000004">
      <c r="B13" s="89" t="s">
        <v>91</v>
      </c>
      <c r="C13" s="44">
        <f>C8+C10+C12</f>
        <v>-207.2</v>
      </c>
      <c r="D13" s="44">
        <f t="shared" ref="D13:O13" si="2">D8+D10+D12</f>
        <v>-364.2</v>
      </c>
      <c r="E13" s="44">
        <f t="shared" si="2"/>
        <v>-410.2</v>
      </c>
      <c r="F13" s="36">
        <f t="shared" si="2"/>
        <v>-965.10599999999999</v>
      </c>
      <c r="G13" s="36">
        <f t="shared" si="2"/>
        <v>-3127</v>
      </c>
      <c r="H13" s="36">
        <f t="shared" si="2"/>
        <v>-4536</v>
      </c>
      <c r="I13" s="36">
        <f t="shared" si="2"/>
        <v>-6510.9364600881763</v>
      </c>
      <c r="J13" s="36">
        <f t="shared" si="2"/>
        <v>-8027.4623036878456</v>
      </c>
      <c r="K13" s="36">
        <f t="shared" si="2"/>
        <v>-9602.0218920537864</v>
      </c>
      <c r="L13" s="36">
        <f t="shared" si="2"/>
        <v>-10597.027172395497</v>
      </c>
      <c r="M13" s="36">
        <f t="shared" si="2"/>
        <v>-11642.028584948857</v>
      </c>
      <c r="N13" s="36">
        <f t="shared" si="2"/>
        <v>-12821.265374346729</v>
      </c>
      <c r="O13" s="36">
        <f t="shared" si="2"/>
        <v>-13884.503134752695</v>
      </c>
    </row>
    <row r="14" spans="2:19" s="32" customFormat="1" ht="14.4" x14ac:dyDescent="0.55000000000000004">
      <c r="B14" s="17"/>
      <c r="C14" s="31"/>
      <c r="D14" s="31"/>
      <c r="E14" s="31"/>
      <c r="G14" s="39">
        <f>-G12/G4</f>
        <v>0.2933089445032338</v>
      </c>
      <c r="H14" s="39">
        <f t="shared" ref="H14:O14" si="3">-H12/H4</f>
        <v>0.28462879920279022</v>
      </c>
      <c r="I14" s="39">
        <f t="shared" si="3"/>
        <v>0.28414972239489938</v>
      </c>
      <c r="J14" s="39">
        <f t="shared" si="3"/>
        <v>0.27660175521304053</v>
      </c>
      <c r="K14" s="39">
        <f t="shared" si="3"/>
        <v>0.27542793947198668</v>
      </c>
      <c r="L14" s="39">
        <f t="shared" si="3"/>
        <v>0.25575581647859952</v>
      </c>
      <c r="M14" s="39">
        <f t="shared" si="3"/>
        <v>0.23921211532036196</v>
      </c>
      <c r="N14" s="39">
        <f t="shared" si="3"/>
        <v>0.23191138056796837</v>
      </c>
      <c r="O14" s="39">
        <f t="shared" si="3"/>
        <v>0.21734277893411061</v>
      </c>
    </row>
    <row r="15" spans="2:19" s="26" customFormat="1" ht="14.4" x14ac:dyDescent="0.55000000000000004">
      <c r="B15" s="40" t="s">
        <v>408</v>
      </c>
      <c r="C15" s="95">
        <f t="shared" ref="C15:O15" si="4">C4+C13</f>
        <v>111.69999999999999</v>
      </c>
      <c r="D15" s="95">
        <f t="shared" si="4"/>
        <v>247.89999999999992</v>
      </c>
      <c r="E15" s="95">
        <f t="shared" si="4"/>
        <v>326.90000000000003</v>
      </c>
      <c r="F15" s="95">
        <f t="shared" si="4"/>
        <v>731.85017000000016</v>
      </c>
      <c r="G15" s="95">
        <f t="shared" si="4"/>
        <v>1663.1710000000003</v>
      </c>
      <c r="H15" s="95">
        <f t="shared" si="4"/>
        <v>3492</v>
      </c>
      <c r="I15" s="95">
        <f t="shared" si="4"/>
        <v>5446.7243511299548</v>
      </c>
      <c r="J15" s="95">
        <f t="shared" si="4"/>
        <v>7216.4033643099556</v>
      </c>
      <c r="K15" s="95">
        <f t="shared" si="4"/>
        <v>9108.8612880607488</v>
      </c>
      <c r="L15" s="95">
        <f>L4+L13</f>
        <v>11237.940559285704</v>
      </c>
      <c r="M15" s="95">
        <f t="shared" si="4"/>
        <v>12953.297584549677</v>
      </c>
      <c r="N15" s="95">
        <f t="shared" si="4"/>
        <v>14406.462667871432</v>
      </c>
      <c r="O15" s="95">
        <f t="shared" si="4"/>
        <v>16544.389108338306</v>
      </c>
      <c r="Q15" s="32"/>
    </row>
    <row r="16" spans="2:19" s="26" customFormat="1" ht="14.4" x14ac:dyDescent="0.55000000000000004">
      <c r="B16" s="40" t="s">
        <v>371</v>
      </c>
      <c r="C16" s="272">
        <f t="shared" ref="C16:O16" si="5">C15/C4</f>
        <v>0.350266541235497</v>
      </c>
      <c r="D16" s="272">
        <f t="shared" si="5"/>
        <v>0.40499918314000971</v>
      </c>
      <c r="E16" s="272">
        <f t="shared" si="5"/>
        <v>0.44349477682811017</v>
      </c>
      <c r="F16" s="272">
        <f t="shared" si="5"/>
        <v>0.43127228795779687</v>
      </c>
      <c r="G16" s="272">
        <f t="shared" si="5"/>
        <v>0.34720493276753589</v>
      </c>
      <c r="H16" s="272">
        <f t="shared" si="5"/>
        <v>0.4349775784753363</v>
      </c>
      <c r="I16" s="272">
        <f t="shared" si="5"/>
        <v>0.45550082387519197</v>
      </c>
      <c r="J16" s="272">
        <f t="shared" si="5"/>
        <v>0.47339720261768686</v>
      </c>
      <c r="K16" s="272">
        <f t="shared" si="5"/>
        <v>0.48682155729246507</v>
      </c>
      <c r="L16" s="272">
        <f t="shared" si="5"/>
        <v>0.51467630716853041</v>
      </c>
      <c r="M16" s="272">
        <f t="shared" si="5"/>
        <v>0.52665687355728108</v>
      </c>
      <c r="N16" s="272">
        <f t="shared" si="5"/>
        <v>0.52910998102865514</v>
      </c>
      <c r="O16" s="272">
        <f t="shared" si="5"/>
        <v>0.54370658570703545</v>
      </c>
      <c r="Q16" s="32"/>
    </row>
    <row r="17" spans="2:17" s="26" customFormat="1" ht="14.4" x14ac:dyDescent="0.55000000000000004">
      <c r="B17" s="40"/>
      <c r="C17" s="272"/>
      <c r="D17" s="272"/>
      <c r="E17" s="272"/>
      <c r="F17" s="272"/>
      <c r="G17" s="272"/>
      <c r="H17" s="272"/>
      <c r="I17" s="272"/>
      <c r="J17" s="272"/>
      <c r="K17" s="272"/>
      <c r="L17" s="272"/>
      <c r="M17" s="272"/>
      <c r="N17" s="272"/>
      <c r="O17" s="272"/>
      <c r="Q17" s="32"/>
    </row>
    <row r="18" spans="2:17" s="26" customFormat="1" ht="14.4" x14ac:dyDescent="0.55000000000000004">
      <c r="B18" s="40" t="s">
        <v>703</v>
      </c>
      <c r="C18" s="272"/>
      <c r="D18" s="95">
        <f t="shared" ref="D18:O18" si="6">D5+D8</f>
        <v>228.2</v>
      </c>
      <c r="E18" s="95">
        <f t="shared" si="6"/>
        <v>269</v>
      </c>
      <c r="F18" s="95">
        <f t="shared" si="6"/>
        <v>678.33517000000006</v>
      </c>
      <c r="G18" s="95">
        <f t="shared" si="6"/>
        <v>2007.1709999999998</v>
      </c>
      <c r="H18" s="95">
        <f t="shared" si="6"/>
        <v>4403</v>
      </c>
      <c r="I18" s="95">
        <f t="shared" si="6"/>
        <v>7258.7806475785455</v>
      </c>
      <c r="J18" s="95">
        <f t="shared" si="6"/>
        <v>9340.7401813328161</v>
      </c>
      <c r="K18" s="95">
        <f t="shared" si="6"/>
        <v>11670.45414026531</v>
      </c>
      <c r="L18" s="95">
        <f t="shared" si="6"/>
        <v>13679.248162443488</v>
      </c>
      <c r="M18" s="95">
        <f t="shared" si="6"/>
        <v>15300.474845438712</v>
      </c>
      <c r="N18" s="95">
        <f t="shared" si="6"/>
        <v>16815.59376803755</v>
      </c>
      <c r="O18" s="95">
        <f t="shared" si="6"/>
        <v>18876.393953497158</v>
      </c>
      <c r="Q18" s="32"/>
    </row>
    <row r="19" spans="2:17" s="26" customFormat="1" ht="14.4" x14ac:dyDescent="0.55000000000000004">
      <c r="B19" s="40" t="s">
        <v>371</v>
      </c>
      <c r="C19" s="272"/>
      <c r="D19" s="756">
        <f>D18/AVERAGE(C191:D191)</f>
        <v>9.9731223914516082E-2</v>
      </c>
      <c r="E19" s="756">
        <f t="shared" ref="E19:O19" si="7">E18/AVERAGE(D191:E191)</f>
        <v>8.817900482823314E-2</v>
      </c>
      <c r="F19" s="756">
        <f t="shared" si="7"/>
        <v>0.13418977126336215</v>
      </c>
      <c r="G19" s="756">
        <f t="shared" si="7"/>
        <v>0.19471536871845421</v>
      </c>
      <c r="H19" s="756">
        <f t="shared" si="7"/>
        <v>0.22770997103847745</v>
      </c>
      <c r="I19" s="756">
        <f t="shared" si="7"/>
        <v>0.26175753446107158</v>
      </c>
      <c r="J19" s="756">
        <f t="shared" si="7"/>
        <v>0.26473389033456113</v>
      </c>
      <c r="K19" s="756">
        <f t="shared" si="7"/>
        <v>0.25595295982718752</v>
      </c>
      <c r="L19" s="756">
        <f t="shared" si="7"/>
        <v>0.24095558519344121</v>
      </c>
      <c r="M19" s="756">
        <f t="shared" si="7"/>
        <v>0.22526651633630723</v>
      </c>
      <c r="N19" s="756">
        <f t="shared" si="7"/>
        <v>0.21468646208763104</v>
      </c>
      <c r="O19" s="756">
        <f t="shared" si="7"/>
        <v>0.21426521837559967</v>
      </c>
      <c r="Q19" s="32"/>
    </row>
    <row r="20" spans="2:17" s="26" customFormat="1" ht="14.7" thickBot="1" x14ac:dyDescent="0.6">
      <c r="B20" s="40"/>
      <c r="C20" s="272"/>
      <c r="D20" s="272"/>
      <c r="E20" s="272"/>
      <c r="F20" s="272"/>
      <c r="G20" s="272"/>
      <c r="H20" s="272"/>
      <c r="I20" s="272"/>
      <c r="J20" s="272"/>
      <c r="K20" s="272"/>
      <c r="L20" s="272"/>
      <c r="M20" s="272"/>
      <c r="N20" s="272"/>
      <c r="O20" s="272"/>
    </row>
    <row r="21" spans="2:17" s="28" customFormat="1" ht="14.4" x14ac:dyDescent="0.55000000000000004">
      <c r="B21" s="41" t="s">
        <v>92</v>
      </c>
      <c r="C21" s="42"/>
      <c r="D21" s="42"/>
      <c r="E21" s="42"/>
    </row>
    <row r="22" spans="2:17" s="32" customFormat="1" ht="14.4" x14ac:dyDescent="0.55000000000000004">
      <c r="B22" s="29" t="s">
        <v>93</v>
      </c>
      <c r="C22" s="151">
        <v>-46.7</v>
      </c>
      <c r="D22" s="151">
        <v>-115.6</v>
      </c>
      <c r="E22" s="151">
        <v>-124</v>
      </c>
      <c r="F22" s="151">
        <v>-190.50899999999999</v>
      </c>
      <c r="G22" s="151">
        <v>-335</v>
      </c>
      <c r="H22" s="151">
        <v>-488</v>
      </c>
      <c r="I22" s="31">
        <f t="shared" ref="I22:O22" si="8">I23*I$4</f>
        <v>-667.08494904237079</v>
      </c>
      <c r="J22" s="31">
        <f t="shared" si="8"/>
        <v>-789.4378006650162</v>
      </c>
      <c r="K22" s="31">
        <f t="shared" si="8"/>
        <v>-931.56331838893107</v>
      </c>
      <c r="L22" s="31">
        <f t="shared" si="8"/>
        <v>-1087.102880245531</v>
      </c>
      <c r="M22" s="31">
        <f t="shared" si="8"/>
        <v>-1224.5335210935734</v>
      </c>
      <c r="N22" s="31">
        <f t="shared" si="8"/>
        <v>-1355.593557131323</v>
      </c>
      <c r="O22" s="31">
        <f t="shared" si="8"/>
        <v>-1514.9707023449837</v>
      </c>
    </row>
    <row r="23" spans="2:17" s="32" customFormat="1" ht="12.9" x14ac:dyDescent="0.5">
      <c r="B23" s="37" t="s">
        <v>10</v>
      </c>
      <c r="C23" s="38">
        <f t="shared" ref="C23:H23" si="9">C22/C$4</f>
        <v>-0.14644089056130449</v>
      </c>
      <c r="D23" s="38">
        <f t="shared" si="9"/>
        <v>-0.18885802973370366</v>
      </c>
      <c r="E23" s="38">
        <f t="shared" si="9"/>
        <v>-0.16822683489350154</v>
      </c>
      <c r="F23" s="38">
        <f t="shared" si="9"/>
        <v>-0.11226512703625101</v>
      </c>
      <c r="G23" s="38">
        <f t="shared" si="9"/>
        <v>-6.9934872888671409E-2</v>
      </c>
      <c r="H23" s="38">
        <f t="shared" si="9"/>
        <v>-6.0787244643746886E-2</v>
      </c>
      <c r="I23" s="174">
        <f t="shared" ref="I23:O23" si="10">H23+I24</f>
        <v>-5.5787244643746889E-2</v>
      </c>
      <c r="J23" s="174">
        <f t="shared" si="10"/>
        <v>-5.1787244643746885E-2</v>
      </c>
      <c r="K23" s="174">
        <f t="shared" si="10"/>
        <v>-4.9787244643746884E-2</v>
      </c>
      <c r="L23" s="174">
        <f t="shared" si="10"/>
        <v>-4.9787244643746884E-2</v>
      </c>
      <c r="M23" s="174">
        <f t="shared" si="10"/>
        <v>-4.9787244643746884E-2</v>
      </c>
      <c r="N23" s="174">
        <f t="shared" si="10"/>
        <v>-4.9787244643746884E-2</v>
      </c>
      <c r="O23" s="174">
        <f t="shared" si="10"/>
        <v>-4.9787244643746884E-2</v>
      </c>
    </row>
    <row r="24" spans="2:17" s="32" customFormat="1" ht="12.9" x14ac:dyDescent="0.5">
      <c r="B24" s="92" t="s">
        <v>436</v>
      </c>
      <c r="C24" s="38"/>
      <c r="D24" s="38">
        <f>(D23-C23)</f>
        <v>-4.2417139172399171E-2</v>
      </c>
      <c r="E24" s="38">
        <f>(E23-D23)</f>
        <v>2.0631194840202122E-2</v>
      </c>
      <c r="F24" s="38">
        <f>(F23-E23)</f>
        <v>5.5961707857250534E-2</v>
      </c>
      <c r="G24" s="38">
        <f>(G23-F23)</f>
        <v>4.2330254147579599E-2</v>
      </c>
      <c r="H24" s="38">
        <f>(H23-G23)</f>
        <v>9.147628244924523E-3</v>
      </c>
      <c r="I24" s="185">
        <v>5.0000000000000001E-3</v>
      </c>
      <c r="J24" s="185">
        <v>4.0000000000000001E-3</v>
      </c>
      <c r="K24" s="185">
        <v>2E-3</v>
      </c>
      <c r="L24" s="185">
        <v>0</v>
      </c>
      <c r="M24" s="185">
        <v>0</v>
      </c>
      <c r="N24" s="185">
        <v>0</v>
      </c>
      <c r="O24" s="185">
        <v>0</v>
      </c>
    </row>
    <row r="25" spans="2:17" s="32" customFormat="1" ht="12.9" x14ac:dyDescent="0.5">
      <c r="B25" s="37"/>
      <c r="C25" s="38"/>
      <c r="D25" s="38"/>
      <c r="E25" s="38"/>
      <c r="F25" s="39"/>
      <c r="G25" s="39"/>
      <c r="H25" s="39"/>
      <c r="I25" s="39"/>
      <c r="J25" s="39"/>
      <c r="K25" s="39"/>
      <c r="L25" s="39"/>
      <c r="M25" s="39"/>
      <c r="N25" s="39"/>
      <c r="O25" s="39"/>
    </row>
    <row r="26" spans="2:17" s="32" customFormat="1" ht="14.4" x14ac:dyDescent="0.55000000000000004">
      <c r="B26" s="29" t="s">
        <v>94</v>
      </c>
      <c r="C26" s="151">
        <v>-84.7</v>
      </c>
      <c r="D26" s="151">
        <v>-199.9</v>
      </c>
      <c r="E26" s="151">
        <v>-266</v>
      </c>
      <c r="F26" s="151">
        <v>-628.90099999999995</v>
      </c>
      <c r="G26" s="151">
        <v>-1333</v>
      </c>
      <c r="H26" s="151">
        <v>-1042</v>
      </c>
      <c r="I26" s="31">
        <f t="shared" ref="I26:O26" si="11">I27*I$4</f>
        <v>-1324.857579276603</v>
      </c>
      <c r="J26" s="31">
        <f t="shared" si="11"/>
        <v>-1536.5163393318144</v>
      </c>
      <c r="K26" s="31">
        <f t="shared" si="11"/>
        <v>-1792.4224324739316</v>
      </c>
      <c r="L26" s="31">
        <f t="shared" si="11"/>
        <v>-1982.5215071455257</v>
      </c>
      <c r="M26" s="31">
        <f t="shared" si="11"/>
        <v>-2110.1735943090639</v>
      </c>
      <c r="N26" s="31">
        <f t="shared" si="11"/>
        <v>-2199.8837549287341</v>
      </c>
      <c r="O26" s="31">
        <f t="shared" si="11"/>
        <v>-2306.3796441472286</v>
      </c>
    </row>
    <row r="27" spans="2:17" s="32" customFormat="1" ht="12.9" x14ac:dyDescent="0.5">
      <c r="B27" s="37" t="s">
        <v>10</v>
      </c>
      <c r="C27" s="150">
        <f t="shared" ref="C27:H27" si="12">C26/C$4</f>
        <v>-0.26560050172467858</v>
      </c>
      <c r="D27" s="150">
        <f t="shared" si="12"/>
        <v>-0.32658062408103256</v>
      </c>
      <c r="E27" s="150">
        <f t="shared" si="12"/>
        <v>-0.36087369420702753</v>
      </c>
      <c r="F27" s="150">
        <f t="shared" si="12"/>
        <v>-0.3706053291877302</v>
      </c>
      <c r="G27" s="150">
        <f t="shared" si="12"/>
        <v>-0.27827816585253429</v>
      </c>
      <c r="H27" s="150">
        <f t="shared" si="12"/>
        <v>-0.12979571499750872</v>
      </c>
      <c r="I27" s="174">
        <f t="shared" ref="I27:O27" si="13">H27+I28</f>
        <v>-0.11079571499750872</v>
      </c>
      <c r="J27" s="174">
        <f t="shared" si="13"/>
        <v>-0.10079571499750872</v>
      </c>
      <c r="K27" s="174">
        <f t="shared" si="13"/>
        <v>-9.5795714997508719E-2</v>
      </c>
      <c r="L27" s="174">
        <f t="shared" si="13"/>
        <v>-9.0795714997508714E-2</v>
      </c>
      <c r="M27" s="174">
        <f t="shared" si="13"/>
        <v>-8.579571499750871E-2</v>
      </c>
      <c r="N27" s="174">
        <f t="shared" si="13"/>
        <v>-8.0795714997508705E-2</v>
      </c>
      <c r="O27" s="174">
        <f t="shared" si="13"/>
        <v>-7.5795714997508701E-2</v>
      </c>
    </row>
    <row r="28" spans="2:17" s="32" customFormat="1" ht="12.9" x14ac:dyDescent="0.5">
      <c r="B28" s="92" t="s">
        <v>436</v>
      </c>
      <c r="C28" s="38"/>
      <c r="D28" s="38">
        <f>(D27-C27)</f>
        <v>-6.0980122356353972E-2</v>
      </c>
      <c r="E28" s="38">
        <f>(E27-D27)</f>
        <v>-3.4293070125994973E-2</v>
      </c>
      <c r="F28" s="38">
        <f>(F27-E27)</f>
        <v>-9.7316349807026747E-3</v>
      </c>
      <c r="G28" s="38">
        <f>(G27-F27)</f>
        <v>9.2327163335195916E-2</v>
      </c>
      <c r="H28" s="38">
        <f>(H27-G27)</f>
        <v>0.14848245085502557</v>
      </c>
      <c r="I28" s="185">
        <v>1.9E-2</v>
      </c>
      <c r="J28" s="185">
        <v>0.01</v>
      </c>
      <c r="K28" s="185">
        <v>5.0000000000000001E-3</v>
      </c>
      <c r="L28" s="185">
        <v>5.0000000000000001E-3</v>
      </c>
      <c r="M28" s="185">
        <v>5.0000000000000001E-3</v>
      </c>
      <c r="N28" s="185">
        <v>5.0000000000000001E-3</v>
      </c>
      <c r="O28" s="185">
        <v>5.0000000000000001E-3</v>
      </c>
    </row>
    <row r="29" spans="2:17" s="32" customFormat="1" ht="12.9" x14ac:dyDescent="0.5">
      <c r="B29" s="944" t="s">
        <v>1281</v>
      </c>
      <c r="C29" s="38"/>
      <c r="D29" s="38"/>
      <c r="E29" s="38"/>
      <c r="F29" s="151">
        <v>0</v>
      </c>
      <c r="G29" s="151">
        <v>-355</v>
      </c>
      <c r="H29" s="151">
        <f>(G29+18+18+18+6)*0.9</f>
        <v>-265.5</v>
      </c>
      <c r="I29" s="30">
        <v>-360</v>
      </c>
      <c r="J29" s="30">
        <v>-320</v>
      </c>
      <c r="K29" s="30">
        <f t="shared" ref="K29:O29" si="14">J29*1.1</f>
        <v>-352</v>
      </c>
      <c r="L29" s="30">
        <f t="shared" si="14"/>
        <v>-387.20000000000005</v>
      </c>
      <c r="M29" s="30">
        <f t="shared" si="14"/>
        <v>-425.92000000000007</v>
      </c>
      <c r="N29" s="30">
        <f t="shared" si="14"/>
        <v>-468.51200000000011</v>
      </c>
      <c r="O29" s="30">
        <f t="shared" si="14"/>
        <v>-515.36320000000012</v>
      </c>
    </row>
    <row r="30" spans="2:17" s="32" customFormat="1" ht="12.9" x14ac:dyDescent="0.5">
      <c r="B30" s="944" t="s">
        <v>1282</v>
      </c>
      <c r="C30" s="38"/>
      <c r="D30" s="38"/>
      <c r="E30" s="38"/>
      <c r="F30" s="151">
        <v>-225</v>
      </c>
      <c r="G30" s="151">
        <v>-286</v>
      </c>
      <c r="H30" s="39"/>
      <c r="I30" s="39"/>
      <c r="J30" s="39"/>
      <c r="K30" s="39"/>
      <c r="L30" s="39"/>
      <c r="M30" s="39"/>
      <c r="N30" s="39"/>
      <c r="O30" s="39"/>
    </row>
    <row r="31" spans="2:17" s="32" customFormat="1" ht="12.9" x14ac:dyDescent="0.5">
      <c r="B31" s="944" t="s">
        <v>1283</v>
      </c>
      <c r="C31" s="38"/>
      <c r="D31" s="38"/>
      <c r="E31" s="38"/>
      <c r="F31" s="31">
        <f>F26-F29-F30</f>
        <v>-403.90099999999995</v>
      </c>
      <c r="G31" s="31">
        <f>G26-G29-G30</f>
        <v>-692</v>
      </c>
      <c r="H31" s="31">
        <f t="shared" ref="H31:O31" si="15">H26-H29-H30</f>
        <v>-776.5</v>
      </c>
      <c r="I31" s="31">
        <f t="shared" si="15"/>
        <v>-964.85757927660302</v>
      </c>
      <c r="J31" s="31">
        <f t="shared" si="15"/>
        <v>-1216.5163393318144</v>
      </c>
      <c r="K31" s="31">
        <f t="shared" si="15"/>
        <v>-1440.4224324739316</v>
      </c>
      <c r="L31" s="31">
        <f t="shared" si="15"/>
        <v>-1595.3215071455256</v>
      </c>
      <c r="M31" s="31">
        <f t="shared" si="15"/>
        <v>-1684.2535943090638</v>
      </c>
      <c r="N31" s="31">
        <f t="shared" si="15"/>
        <v>-1731.3717549287339</v>
      </c>
      <c r="O31" s="31">
        <f t="shared" si="15"/>
        <v>-1791.0164441472284</v>
      </c>
    </row>
    <row r="32" spans="2:17" s="32" customFormat="1" ht="12.9" x14ac:dyDescent="0.5">
      <c r="B32" s="944"/>
      <c r="C32" s="38"/>
      <c r="D32" s="38"/>
      <c r="E32" s="38"/>
      <c r="F32" s="39">
        <f>-F31/F4</f>
        <v>0.23801498656267586</v>
      </c>
      <c r="G32" s="39">
        <f t="shared" ref="G32:O32" si="16">-G31/G4</f>
        <v>0.14446248369838988</v>
      </c>
      <c r="H32" s="39">
        <f t="shared" si="16"/>
        <v>9.6723966118584956E-2</v>
      </c>
      <c r="I32" s="39">
        <f t="shared" si="16"/>
        <v>8.0689492243450969E-2</v>
      </c>
      <c r="J32" s="39">
        <f t="shared" si="16"/>
        <v>7.9803664360917792E-2</v>
      </c>
      <c r="K32" s="39">
        <f t="shared" si="16"/>
        <v>7.6983134286508562E-2</v>
      </c>
      <c r="L32" s="39">
        <f t="shared" si="16"/>
        <v>7.3062691310086608E-2</v>
      </c>
      <c r="M32" s="39">
        <f t="shared" si="16"/>
        <v>6.8478603727474108E-2</v>
      </c>
      <c r="N32" s="39">
        <f t="shared" si="16"/>
        <v>6.358855032796501E-2</v>
      </c>
      <c r="O32" s="39">
        <f t="shared" si="16"/>
        <v>5.8859074784554002E-2</v>
      </c>
    </row>
    <row r="33" spans="2:15" s="32" customFormat="1" ht="12.9" x14ac:dyDescent="0.5">
      <c r="B33" s="37"/>
      <c r="C33" s="38"/>
      <c r="D33" s="38"/>
      <c r="E33" s="38"/>
      <c r="F33" s="39"/>
      <c r="G33" s="39"/>
      <c r="H33" s="39"/>
      <c r="I33" s="39"/>
      <c r="J33" s="39"/>
      <c r="K33" s="39"/>
      <c r="L33" s="39"/>
      <c r="M33" s="39"/>
      <c r="N33" s="39"/>
      <c r="O33" s="39"/>
    </row>
    <row r="34" spans="2:15" s="32" customFormat="1" ht="14.4" x14ac:dyDescent="0.55000000000000004">
      <c r="B34" s="29" t="s">
        <v>95</v>
      </c>
      <c r="C34" s="151">
        <v>-6.4</v>
      </c>
      <c r="D34" s="151">
        <v>-41.8</v>
      </c>
      <c r="E34" s="151">
        <v>-19.399999999999999</v>
      </c>
      <c r="F34" s="151">
        <v>-79.573999999999998</v>
      </c>
      <c r="G34" s="151">
        <v>-153</v>
      </c>
      <c r="H34" s="151">
        <v>-171</v>
      </c>
      <c r="I34" s="31">
        <f t="shared" ref="I34:O34" si="17">I35*I$4</f>
        <v>-226.4829342254875</v>
      </c>
      <c r="J34" s="31">
        <f t="shared" si="17"/>
        <v>-288.72498391895834</v>
      </c>
      <c r="K34" s="31">
        <f t="shared" si="17"/>
        <v>-354.39169846723269</v>
      </c>
      <c r="L34" s="31">
        <f t="shared" si="17"/>
        <v>-413.56312398078643</v>
      </c>
      <c r="M34" s="31">
        <f t="shared" si="17"/>
        <v>-465.84542972443512</v>
      </c>
      <c r="N34" s="31">
        <f t="shared" si="17"/>
        <v>-515.70418634971816</v>
      </c>
      <c r="O34" s="31">
        <f t="shared" si="17"/>
        <v>-576.33553161008035</v>
      </c>
    </row>
    <row r="35" spans="2:15" s="32" customFormat="1" ht="12.9" x14ac:dyDescent="0.5">
      <c r="B35" s="37" t="s">
        <v>10</v>
      </c>
      <c r="C35" s="38">
        <f>C34/C$4</f>
        <v>-2.0068987143305114E-2</v>
      </c>
      <c r="D35" s="38">
        <f>D34/D$4</f>
        <v>-6.8289495180526058E-2</v>
      </c>
      <c r="E35" s="38">
        <f>E34/E$4</f>
        <v>-2.6319359652692983E-2</v>
      </c>
      <c r="F35" s="38">
        <f>F34/F$4</f>
        <v>-4.6892195217982553E-2</v>
      </c>
      <c r="G35" s="38">
        <f>G34/G$4</f>
        <v>-3.1940404632736494E-2</v>
      </c>
      <c r="H35" s="174">
        <f t="shared" ref="H35:O35" si="18">G35+H36</f>
        <v>-1.9940404632736494E-2</v>
      </c>
      <c r="I35" s="174">
        <f t="shared" si="18"/>
        <v>-1.8940404632736493E-2</v>
      </c>
      <c r="J35" s="174">
        <f t="shared" si="18"/>
        <v>-1.8940404632736493E-2</v>
      </c>
      <c r="K35" s="174">
        <f t="shared" si="18"/>
        <v>-1.8940404632736493E-2</v>
      </c>
      <c r="L35" s="174">
        <f t="shared" si="18"/>
        <v>-1.8940404632736493E-2</v>
      </c>
      <c r="M35" s="174">
        <f t="shared" si="18"/>
        <v>-1.8940404632736493E-2</v>
      </c>
      <c r="N35" s="174">
        <f t="shared" si="18"/>
        <v>-1.8940404632736493E-2</v>
      </c>
      <c r="O35" s="174">
        <f t="shared" si="18"/>
        <v>-1.8940404632736493E-2</v>
      </c>
    </row>
    <row r="36" spans="2:15" s="32" customFormat="1" ht="12.9" x14ac:dyDescent="0.5">
      <c r="B36" s="92" t="s">
        <v>436</v>
      </c>
      <c r="C36" s="38"/>
      <c r="D36" s="38">
        <f>(D35-C35)</f>
        <v>-4.8220508037220944E-2</v>
      </c>
      <c r="E36" s="38">
        <f>(E35-D35)</f>
        <v>4.1970135527833075E-2</v>
      </c>
      <c r="F36" s="38">
        <f>(F35-E35)</f>
        <v>-2.057283556528957E-2</v>
      </c>
      <c r="G36" s="38">
        <f>(G35-F35)</f>
        <v>1.4951790585246059E-2</v>
      </c>
      <c r="H36" s="185">
        <v>1.2E-2</v>
      </c>
      <c r="I36" s="185">
        <v>1E-3</v>
      </c>
      <c r="J36" s="185">
        <v>0</v>
      </c>
      <c r="K36" s="185">
        <v>0</v>
      </c>
      <c r="L36" s="185">
        <v>0</v>
      </c>
      <c r="M36" s="185">
        <v>0</v>
      </c>
      <c r="N36" s="185">
        <v>0</v>
      </c>
      <c r="O36" s="185">
        <v>0</v>
      </c>
    </row>
    <row r="37" spans="2:15" s="32" customFormat="1" ht="12.9" x14ac:dyDescent="0.5">
      <c r="B37" s="37"/>
      <c r="C37" s="38"/>
      <c r="D37" s="38"/>
      <c r="E37" s="38"/>
      <c r="F37" s="39"/>
      <c r="G37" s="39">
        <f>-G35</f>
        <v>3.1940404632736494E-2</v>
      </c>
      <c r="H37" s="39">
        <f t="shared" ref="H37:O37" si="19">-H35</f>
        <v>1.9940404632736494E-2</v>
      </c>
      <c r="I37" s="39">
        <f t="shared" si="19"/>
        <v>1.8940404632736493E-2</v>
      </c>
      <c r="J37" s="39">
        <f t="shared" si="19"/>
        <v>1.8940404632736493E-2</v>
      </c>
      <c r="K37" s="39">
        <f t="shared" si="19"/>
        <v>1.8940404632736493E-2</v>
      </c>
      <c r="L37" s="39">
        <f t="shared" si="19"/>
        <v>1.8940404632736493E-2</v>
      </c>
      <c r="M37" s="39">
        <f t="shared" si="19"/>
        <v>1.8940404632736493E-2</v>
      </c>
      <c r="N37" s="39">
        <f t="shared" si="19"/>
        <v>1.8940404632736493E-2</v>
      </c>
      <c r="O37" s="39">
        <f t="shared" si="19"/>
        <v>1.8940404632736493E-2</v>
      </c>
    </row>
    <row r="38" spans="2:15" s="32" customFormat="1" ht="14.4" x14ac:dyDescent="0.55000000000000004">
      <c r="B38" s="29" t="s">
        <v>96</v>
      </c>
      <c r="C38" s="151">
        <v>-7.3</v>
      </c>
      <c r="D38" s="151">
        <v>-19.899999999999999</v>
      </c>
      <c r="E38" s="151">
        <v>-9.5</v>
      </c>
      <c r="F38" s="151">
        <v>-4.0970000000000004</v>
      </c>
      <c r="G38" s="151">
        <v>-150</v>
      </c>
      <c r="H38" s="151">
        <v>-250</v>
      </c>
      <c r="I38" s="30">
        <f>H38*1.5</f>
        <v>-375</v>
      </c>
      <c r="J38" s="30">
        <f>I38*1.05</f>
        <v>-393.75</v>
      </c>
      <c r="K38" s="30">
        <f>J38*1.05</f>
        <v>-413.4375</v>
      </c>
      <c r="L38" s="30">
        <f t="shared" ref="L38:O38" si="20">K38*1.1</f>
        <v>-454.78125000000006</v>
      </c>
      <c r="M38" s="30">
        <f t="shared" si="20"/>
        <v>-500.25937500000009</v>
      </c>
      <c r="N38" s="30">
        <f t="shared" si="20"/>
        <v>-550.28531250000015</v>
      </c>
      <c r="O38" s="30">
        <f t="shared" si="20"/>
        <v>-605.31384375000016</v>
      </c>
    </row>
    <row r="39" spans="2:15" s="32" customFormat="1" ht="12.9" x14ac:dyDescent="0.5">
      <c r="B39" s="92"/>
      <c r="C39" s="38"/>
      <c r="D39" s="38"/>
      <c r="E39" s="38"/>
      <c r="F39" s="39"/>
      <c r="G39" s="39"/>
      <c r="H39" s="39"/>
      <c r="I39" s="39"/>
      <c r="J39" s="39"/>
      <c r="K39" s="39"/>
      <c r="L39" s="39"/>
      <c r="M39" s="39"/>
      <c r="N39" s="39"/>
      <c r="O39" s="93"/>
    </row>
    <row r="40" spans="2:15" s="32" customFormat="1" ht="14.4" x14ac:dyDescent="0.55000000000000004">
      <c r="B40" s="94" t="s">
        <v>97</v>
      </c>
      <c r="C40" s="95">
        <f t="shared" ref="C40:O40" si="21">C38+C34+C26+C22</f>
        <v>-145.10000000000002</v>
      </c>
      <c r="D40" s="95">
        <f t="shared" si="21"/>
        <v>-377.20000000000005</v>
      </c>
      <c r="E40" s="95">
        <f t="shared" si="21"/>
        <v>-418.9</v>
      </c>
      <c r="F40" s="95">
        <f t="shared" si="21"/>
        <v>-903.0809999999999</v>
      </c>
      <c r="G40" s="95">
        <f t="shared" si="21"/>
        <v>-1971</v>
      </c>
      <c r="H40" s="95">
        <f t="shared" si="21"/>
        <v>-1951</v>
      </c>
      <c r="I40" s="95">
        <f t="shared" si="21"/>
        <v>-2593.4254625444614</v>
      </c>
      <c r="J40" s="95">
        <f t="shared" si="21"/>
        <v>-3008.4291239157888</v>
      </c>
      <c r="K40" s="95">
        <f t="shared" si="21"/>
        <v>-3491.8149493300953</v>
      </c>
      <c r="L40" s="95">
        <f t="shared" si="21"/>
        <v>-3937.9687613718434</v>
      </c>
      <c r="M40" s="95">
        <f t="shared" si="21"/>
        <v>-4300.8119201270729</v>
      </c>
      <c r="N40" s="95">
        <f t="shared" si="21"/>
        <v>-4621.4668109097756</v>
      </c>
      <c r="O40" s="95">
        <f t="shared" si="21"/>
        <v>-5002.9997218522931</v>
      </c>
    </row>
    <row r="41" spans="2:15" s="32" customFormat="1" ht="12.9" x14ac:dyDescent="0.5">
      <c r="B41" s="92"/>
      <c r="C41" s="38"/>
      <c r="D41" s="38"/>
      <c r="E41" s="38"/>
      <c r="F41" s="39"/>
      <c r="G41" s="39"/>
      <c r="H41" s="39"/>
      <c r="I41" s="39"/>
      <c r="J41" s="39"/>
      <c r="K41" s="39"/>
      <c r="L41" s="39"/>
      <c r="M41" s="39"/>
      <c r="N41" s="39"/>
      <c r="O41" s="93"/>
    </row>
    <row r="42" spans="2:15" s="32" customFormat="1" ht="12.9" x14ac:dyDescent="0.5">
      <c r="B42" s="92" t="s">
        <v>2327</v>
      </c>
      <c r="C42" s="38"/>
      <c r="D42" s="38"/>
      <c r="E42" s="38"/>
      <c r="F42" s="151">
        <v>6068</v>
      </c>
      <c r="G42" s="151">
        <v>8049</v>
      </c>
      <c r="H42" s="151">
        <v>7686</v>
      </c>
      <c r="I42" s="31">
        <f>H42+I43</f>
        <v>7786</v>
      </c>
      <c r="J42" s="31">
        <f t="shared" ref="J42:O42" si="22">I42+J43</f>
        <v>7886</v>
      </c>
      <c r="K42" s="31">
        <f t="shared" si="22"/>
        <v>7986</v>
      </c>
      <c r="L42" s="31">
        <f t="shared" si="22"/>
        <v>8086</v>
      </c>
      <c r="M42" s="31">
        <f t="shared" si="22"/>
        <v>8186</v>
      </c>
      <c r="N42" s="31">
        <f t="shared" si="22"/>
        <v>8286</v>
      </c>
      <c r="O42" s="31">
        <f t="shared" si="22"/>
        <v>8386</v>
      </c>
    </row>
    <row r="43" spans="2:15" s="32" customFormat="1" ht="12.9" x14ac:dyDescent="0.5">
      <c r="B43" s="92" t="s">
        <v>2103</v>
      </c>
      <c r="C43" s="38"/>
      <c r="D43" s="38"/>
      <c r="E43" s="38"/>
      <c r="F43" s="31"/>
      <c r="G43" s="31">
        <f>G42-F42</f>
        <v>1981</v>
      </c>
      <c r="H43" s="31">
        <f>H42-G42</f>
        <v>-363</v>
      </c>
      <c r="I43" s="30">
        <v>100</v>
      </c>
      <c r="J43" s="30">
        <v>100</v>
      </c>
      <c r="K43" s="30">
        <v>100</v>
      </c>
      <c r="L43" s="30">
        <v>100</v>
      </c>
      <c r="M43" s="30">
        <v>100</v>
      </c>
      <c r="N43" s="30">
        <v>100</v>
      </c>
      <c r="O43" s="30">
        <v>100</v>
      </c>
    </row>
    <row r="44" spans="2:15" s="32" customFormat="1" ht="12.9" x14ac:dyDescent="0.5">
      <c r="B44" s="92" t="s">
        <v>2328</v>
      </c>
      <c r="C44" s="38"/>
      <c r="D44" s="38"/>
      <c r="E44" s="38"/>
      <c r="F44" s="31">
        <f>-F22-(F26-F30)</f>
        <v>594.41</v>
      </c>
      <c r="G44" s="31">
        <f>-G22-(G26-G30)</f>
        <v>1382</v>
      </c>
      <c r="H44" s="31">
        <f>-H22-(H26-H30)</f>
        <v>1530</v>
      </c>
      <c r="I44" s="30"/>
      <c r="J44" s="30"/>
      <c r="K44" s="30"/>
      <c r="L44" s="30"/>
      <c r="M44" s="30"/>
      <c r="N44" s="30"/>
      <c r="O44" s="30"/>
    </row>
    <row r="45" spans="2:15" s="32" customFormat="1" ht="12.9" x14ac:dyDescent="0.5">
      <c r="B45" s="92" t="s">
        <v>2329</v>
      </c>
      <c r="C45" s="38"/>
      <c r="D45" s="38"/>
      <c r="E45" s="38"/>
      <c r="F45" s="31"/>
      <c r="G45" s="31">
        <f>G44*1000/AVERAGE(F42,G42)</f>
        <v>195.79230714741092</v>
      </c>
      <c r="H45" s="31">
        <f>H44*1000/AVERAGE(G42,H42)</f>
        <v>194.47092469018114</v>
      </c>
      <c r="I45" s="30"/>
      <c r="J45" s="30"/>
      <c r="K45" s="30"/>
      <c r="L45" s="30"/>
      <c r="M45" s="30"/>
      <c r="N45" s="30"/>
      <c r="O45" s="30"/>
    </row>
    <row r="46" spans="2:15" s="32" customFormat="1" ht="12.9" x14ac:dyDescent="0.5">
      <c r="B46" s="92"/>
      <c r="C46" s="38"/>
      <c r="D46" s="38"/>
      <c r="E46" s="38"/>
      <c r="F46" s="39"/>
      <c r="G46" s="39"/>
      <c r="H46" s="39"/>
      <c r="I46" s="39"/>
      <c r="J46" s="39"/>
      <c r="K46" s="39"/>
      <c r="L46" s="39"/>
      <c r="M46" s="39"/>
      <c r="N46" s="39"/>
      <c r="O46" s="93"/>
    </row>
    <row r="47" spans="2:15" s="32" customFormat="1" ht="14.4" x14ac:dyDescent="0.55000000000000004">
      <c r="B47" s="380" t="s">
        <v>410</v>
      </c>
      <c r="C47" s="381">
        <f>C15+C40</f>
        <v>-33.400000000000034</v>
      </c>
      <c r="D47" s="381">
        <f t="shared" ref="D47:O47" si="23">D15+D40</f>
        <v>-129.30000000000013</v>
      </c>
      <c r="E47" s="381">
        <f t="shared" si="23"/>
        <v>-91.999999999999943</v>
      </c>
      <c r="F47" s="381">
        <f t="shared" si="23"/>
        <v>-171.23082999999974</v>
      </c>
      <c r="G47" s="381">
        <f t="shared" si="23"/>
        <v>-307.82899999999972</v>
      </c>
      <c r="H47" s="381">
        <f t="shared" si="23"/>
        <v>1541</v>
      </c>
      <c r="I47" s="381">
        <f t="shared" si="23"/>
        <v>2853.2988885854934</v>
      </c>
      <c r="J47" s="381">
        <f t="shared" si="23"/>
        <v>4207.9742403941673</v>
      </c>
      <c r="K47" s="381">
        <f t="shared" si="23"/>
        <v>5617.0463387306536</v>
      </c>
      <c r="L47" s="381">
        <f t="shared" si="23"/>
        <v>7299.9717979138604</v>
      </c>
      <c r="M47" s="381">
        <f t="shared" si="23"/>
        <v>8652.4856644226038</v>
      </c>
      <c r="N47" s="381">
        <f t="shared" si="23"/>
        <v>9784.9958569616574</v>
      </c>
      <c r="O47" s="381">
        <f t="shared" si="23"/>
        <v>11541.389386486013</v>
      </c>
    </row>
    <row r="48" spans="2:15" s="32" customFormat="1" ht="14.4" x14ac:dyDescent="0.55000000000000004">
      <c r="B48" s="380" t="s">
        <v>371</v>
      </c>
      <c r="C48" s="381"/>
      <c r="D48" s="1189">
        <f>D47/D4</f>
        <v>-0.21123999346512032</v>
      </c>
      <c r="E48" s="1189">
        <f t="shared" ref="E48:O48" si="24">E47/E4</f>
        <v>-0.1248134581467914</v>
      </c>
      <c r="F48" s="1189">
        <f t="shared" si="24"/>
        <v>-0.10090468630076622</v>
      </c>
      <c r="G48" s="1189">
        <f t="shared" si="24"/>
        <v>-6.4262632795363608E-2</v>
      </c>
      <c r="H48" s="1189">
        <f t="shared" si="24"/>
        <v>0.19195316392625811</v>
      </c>
      <c r="I48" s="1189">
        <f t="shared" si="24"/>
        <v>0.23861681089905634</v>
      </c>
      <c r="J48" s="1189">
        <f t="shared" si="24"/>
        <v>0.27604377603695202</v>
      </c>
      <c r="K48" s="1189">
        <f t="shared" si="24"/>
        <v>0.30020209546817717</v>
      </c>
      <c r="L48" s="1189">
        <f t="shared" si="24"/>
        <v>0.33432482647190032</v>
      </c>
      <c r="M48" s="1189">
        <f t="shared" si="24"/>
        <v>0.35179389794605909</v>
      </c>
      <c r="N48" s="1189">
        <f t="shared" si="24"/>
        <v>0.35937614191641176</v>
      </c>
      <c r="O48" s="1189">
        <f t="shared" si="24"/>
        <v>0.37929048794428361</v>
      </c>
    </row>
    <row r="49" spans="2:15" s="32" customFormat="1" ht="12.9" x14ac:dyDescent="0.5">
      <c r="B49" s="92"/>
      <c r="C49" s="38"/>
      <c r="D49" s="38"/>
      <c r="E49" s="38"/>
      <c r="F49" s="39"/>
      <c r="G49" s="39"/>
      <c r="H49" s="39"/>
      <c r="I49" s="39"/>
      <c r="J49" s="39"/>
      <c r="K49" s="39"/>
      <c r="L49" s="39"/>
      <c r="M49" s="39"/>
      <c r="N49" s="39"/>
      <c r="O49" s="93"/>
    </row>
    <row r="50" spans="2:15" s="32" customFormat="1" ht="14.4" x14ac:dyDescent="0.55000000000000004">
      <c r="B50" s="380" t="s">
        <v>656</v>
      </c>
      <c r="C50" s="381">
        <f>C47+C125</f>
        <v>-32.329000000000036</v>
      </c>
      <c r="D50" s="381">
        <f t="shared" ref="D50:O50" si="25">D47+D125</f>
        <v>-124.22700000000012</v>
      </c>
      <c r="E50" s="381">
        <f t="shared" si="25"/>
        <v>-84.571999999999946</v>
      </c>
      <c r="F50" s="381">
        <f t="shared" si="25"/>
        <v>-153.89182999999974</v>
      </c>
      <c r="G50" s="381">
        <f t="shared" si="25"/>
        <v>-258.88443888679194</v>
      </c>
      <c r="H50" s="381">
        <f t="shared" si="25"/>
        <v>1623.0277473636811</v>
      </c>
      <c r="I50" s="381">
        <f t="shared" si="25"/>
        <v>2975.4787565579886</v>
      </c>
      <c r="J50" s="381">
        <f t="shared" si="25"/>
        <v>4363.7315849208762</v>
      </c>
      <c r="K50" s="381">
        <f t="shared" si="25"/>
        <v>5808.2286504458734</v>
      </c>
      <c r="L50" s="381">
        <f t="shared" si="25"/>
        <v>7523.075088495385</v>
      </c>
      <c r="M50" s="381">
        <f t="shared" si="25"/>
        <v>8903.793487212708</v>
      </c>
      <c r="N50" s="381">
        <f t="shared" si="25"/>
        <v>10063.200789340093</v>
      </c>
      <c r="O50" s="381">
        <f t="shared" si="25"/>
        <v>11852.302874960471</v>
      </c>
    </row>
    <row r="51" spans="2:15" s="32" customFormat="1" ht="14.7" thickBot="1" x14ac:dyDescent="0.6">
      <c r="B51" s="91" t="s">
        <v>98</v>
      </c>
      <c r="C51" s="151">
        <v>0</v>
      </c>
      <c r="D51" s="151">
        <v>0</v>
      </c>
      <c r="E51" s="151">
        <v>-101.2</v>
      </c>
      <c r="F51" s="151">
        <v>0</v>
      </c>
      <c r="G51" s="151">
        <v>0</v>
      </c>
      <c r="H51" s="151">
        <v>0</v>
      </c>
      <c r="I51" s="32">
        <v>0</v>
      </c>
      <c r="J51" s="32">
        <v>0</v>
      </c>
      <c r="K51" s="32">
        <v>0</v>
      </c>
      <c r="L51" s="32">
        <v>0</v>
      </c>
      <c r="M51" s="32">
        <v>0</v>
      </c>
      <c r="N51" s="32">
        <v>0</v>
      </c>
      <c r="O51" s="32">
        <v>0</v>
      </c>
    </row>
    <row r="52" spans="2:15" s="28" customFormat="1" ht="14.4" x14ac:dyDescent="0.55000000000000004">
      <c r="B52" s="41"/>
      <c r="C52" s="27"/>
      <c r="D52" s="27"/>
      <c r="E52" s="27"/>
    </row>
    <row r="53" spans="2:15" s="32" customFormat="1" ht="14.7" thickBot="1" x14ac:dyDescent="0.6">
      <c r="B53" s="40" t="s">
        <v>12</v>
      </c>
      <c r="C53" s="95">
        <f t="shared" ref="C53:O53" si="26">C15+C40+C51</f>
        <v>-33.400000000000034</v>
      </c>
      <c r="D53" s="95">
        <f t="shared" si="26"/>
        <v>-129.30000000000013</v>
      </c>
      <c r="E53" s="95">
        <f t="shared" si="26"/>
        <v>-193.19999999999993</v>
      </c>
      <c r="F53" s="95">
        <f t="shared" si="26"/>
        <v>-171.23082999999974</v>
      </c>
      <c r="G53" s="95">
        <f t="shared" si="26"/>
        <v>-307.82899999999972</v>
      </c>
      <c r="H53" s="95">
        <f t="shared" si="26"/>
        <v>1541</v>
      </c>
      <c r="I53" s="95">
        <f t="shared" si="26"/>
        <v>2853.2988885854934</v>
      </c>
      <c r="J53" s="95">
        <f t="shared" si="26"/>
        <v>4207.9742403941673</v>
      </c>
      <c r="K53" s="95">
        <f t="shared" si="26"/>
        <v>5617.0463387306536</v>
      </c>
      <c r="L53" s="95">
        <f t="shared" si="26"/>
        <v>7299.9717979138604</v>
      </c>
      <c r="M53" s="95">
        <f t="shared" si="26"/>
        <v>8652.4856644226038</v>
      </c>
      <c r="N53" s="95">
        <f t="shared" si="26"/>
        <v>9784.9958569616574</v>
      </c>
      <c r="O53" s="95">
        <f t="shared" si="26"/>
        <v>11541.389386486013</v>
      </c>
    </row>
    <row r="54" spans="2:15" s="28" customFormat="1" ht="14.4" x14ac:dyDescent="0.55000000000000004">
      <c r="B54" s="41"/>
      <c r="C54" s="42"/>
      <c r="D54" s="42"/>
      <c r="E54" s="42"/>
    </row>
    <row r="55" spans="2:15" s="32" customFormat="1" ht="14.4" x14ac:dyDescent="0.55000000000000004">
      <c r="B55" s="17" t="s">
        <v>99</v>
      </c>
      <c r="C55" s="151">
        <v>-15.5</v>
      </c>
      <c r="D55" s="151">
        <v>-3.6</v>
      </c>
      <c r="E55" s="151">
        <v>-22.3</v>
      </c>
      <c r="F55" s="151">
        <v>-219.82400000000001</v>
      </c>
      <c r="G55" s="151">
        <v>-473</v>
      </c>
      <c r="H55" s="151">
        <v>-1184</v>
      </c>
      <c r="I55" s="31">
        <f t="shared" ref="I55:O55" si="27">IF(I53&gt;0,I56*I53,-I56*I53)</f>
        <v>-1711.979333151296</v>
      </c>
      <c r="J55" s="31">
        <f t="shared" si="27"/>
        <v>-1388.6314993300753</v>
      </c>
      <c r="K55" s="31">
        <f t="shared" si="27"/>
        <v>-1853.6252917811157</v>
      </c>
      <c r="L55" s="31">
        <f t="shared" si="27"/>
        <v>-2481.9904112907129</v>
      </c>
      <c r="M55" s="31">
        <f t="shared" si="27"/>
        <v>-2941.8451259036856</v>
      </c>
      <c r="N55" s="31">
        <f t="shared" si="27"/>
        <v>-3326.898591366964</v>
      </c>
      <c r="O55" s="31">
        <f t="shared" si="27"/>
        <v>-3924.0723914052446</v>
      </c>
    </row>
    <row r="56" spans="2:15" s="32" customFormat="1" ht="12.9" x14ac:dyDescent="0.5">
      <c r="B56" s="24" t="s">
        <v>13</v>
      </c>
      <c r="C56" s="45">
        <f>C55/C$4</f>
        <v>-4.860457823769207E-2</v>
      </c>
      <c r="D56" s="45">
        <f>D55/D53</f>
        <v>2.784222737819023E-2</v>
      </c>
      <c r="E56" s="45">
        <f>E55/E53</f>
        <v>0.11542443064182199</v>
      </c>
      <c r="F56" s="45">
        <f>F55/F53</f>
        <v>1.28378750485529</v>
      </c>
      <c r="G56" s="45">
        <f>G55/G53</f>
        <v>1.5365673799414623</v>
      </c>
      <c r="H56" s="93">
        <v>-0.75</v>
      </c>
      <c r="I56" s="93">
        <v>-0.6</v>
      </c>
      <c r="J56" s="93">
        <v>-0.33</v>
      </c>
      <c r="K56" s="93">
        <v>-0.33</v>
      </c>
      <c r="L56" s="93">
        <v>-0.34</v>
      </c>
      <c r="M56" s="93">
        <v>-0.34</v>
      </c>
      <c r="N56" s="93">
        <v>-0.34</v>
      </c>
      <c r="O56" s="93">
        <v>-0.34</v>
      </c>
    </row>
    <row r="57" spans="2:15" s="32" customFormat="1" ht="14.4" x14ac:dyDescent="0.55000000000000004">
      <c r="B57" s="17" t="s">
        <v>25</v>
      </c>
      <c r="C57" s="151">
        <v>20.3</v>
      </c>
      <c r="D57" s="151">
        <v>40.4</v>
      </c>
      <c r="E57" s="151">
        <v>44</v>
      </c>
      <c r="F57" s="151">
        <v>224.654</v>
      </c>
      <c r="G57" s="151">
        <v>417</v>
      </c>
      <c r="H57" s="151">
        <v>676</v>
      </c>
      <c r="I57" s="30">
        <v>800</v>
      </c>
      <c r="J57" s="30">
        <v>0</v>
      </c>
      <c r="K57" s="30">
        <v>0</v>
      </c>
      <c r="L57" s="30">
        <v>0</v>
      </c>
      <c r="M57" s="30">
        <v>0</v>
      </c>
      <c r="N57" s="30">
        <v>0</v>
      </c>
      <c r="O57" s="30">
        <v>0</v>
      </c>
    </row>
    <row r="58" spans="2:15" s="32" customFormat="1" ht="12.9" x14ac:dyDescent="0.5">
      <c r="B58" s="24" t="s">
        <v>10</v>
      </c>
      <c r="C58" s="45">
        <f t="shared" ref="C58:H58" si="28">C57/C$4</f>
        <v>6.3656318595170902E-2</v>
      </c>
      <c r="D58" s="45">
        <f t="shared" si="28"/>
        <v>6.6002287207972563E-2</v>
      </c>
      <c r="E58" s="45">
        <f t="shared" si="28"/>
        <v>5.9693393026726362E-2</v>
      </c>
      <c r="F58" s="45">
        <f t="shared" si="28"/>
        <v>0.1323864481426176</v>
      </c>
      <c r="G58" s="45">
        <f t="shared" si="28"/>
        <v>8.7053259685301421E-2</v>
      </c>
      <c r="H58" s="45">
        <f t="shared" si="28"/>
        <v>8.4205281514698554E-2</v>
      </c>
      <c r="I58" s="184"/>
      <c r="J58" s="184"/>
      <c r="K58" s="184"/>
      <c r="L58" s="184"/>
      <c r="M58" s="184"/>
      <c r="N58" s="184"/>
      <c r="O58" s="184"/>
    </row>
    <row r="59" spans="2:15" s="32" customFormat="1" ht="14.4" x14ac:dyDescent="0.55000000000000004">
      <c r="B59" s="1047" t="s">
        <v>1441</v>
      </c>
      <c r="C59" s="45"/>
      <c r="D59" s="45"/>
      <c r="E59" s="45"/>
      <c r="F59" s="45"/>
      <c r="K59" s="150"/>
      <c r="L59" s="150"/>
      <c r="M59" s="150"/>
      <c r="N59" s="150"/>
      <c r="O59" s="150"/>
    </row>
    <row r="60" spans="2:15" s="32" customFormat="1" ht="14.4" x14ac:dyDescent="0.55000000000000004">
      <c r="B60" s="1064" t="s">
        <v>600</v>
      </c>
      <c r="C60" s="45"/>
      <c r="D60" s="45"/>
      <c r="E60" s="45"/>
      <c r="G60" s="31">
        <f t="shared" ref="G60:O60" si="29">G55+G57</f>
        <v>-56</v>
      </c>
      <c r="H60" s="31">
        <f t="shared" si="29"/>
        <v>-508</v>
      </c>
      <c r="I60" s="31">
        <f t="shared" si="29"/>
        <v>-911.97933315129603</v>
      </c>
      <c r="J60" s="31">
        <f t="shared" si="29"/>
        <v>-1388.6314993300753</v>
      </c>
      <c r="K60" s="31">
        <f t="shared" si="29"/>
        <v>-1853.6252917811157</v>
      </c>
      <c r="L60" s="31">
        <f t="shared" si="29"/>
        <v>-2481.9904112907129</v>
      </c>
      <c r="M60" s="31">
        <f t="shared" si="29"/>
        <v>-2941.8451259036856</v>
      </c>
      <c r="N60" s="31">
        <f t="shared" si="29"/>
        <v>-3326.898591366964</v>
      </c>
      <c r="O60" s="31">
        <f t="shared" si="29"/>
        <v>-3924.0723914052446</v>
      </c>
    </row>
    <row r="61" spans="2:15" s="32" customFormat="1" ht="14.4" x14ac:dyDescent="0.55000000000000004">
      <c r="B61" s="17"/>
      <c r="C61" s="45"/>
      <c r="D61" s="45"/>
      <c r="E61" s="45"/>
      <c r="G61" s="31"/>
      <c r="H61" s="31"/>
      <c r="I61" s="31"/>
      <c r="J61" s="31"/>
    </row>
    <row r="62" spans="2:15" s="47" customFormat="1" ht="14.4" x14ac:dyDescent="0.55000000000000004">
      <c r="B62" s="46" t="s">
        <v>14</v>
      </c>
      <c r="C62" s="95">
        <f>C53+C55+C57</f>
        <v>-28.600000000000033</v>
      </c>
      <c r="D62" s="95">
        <f t="shared" ref="D62:O62" si="30">D53+D55+D57</f>
        <v>-92.500000000000114</v>
      </c>
      <c r="E62" s="95">
        <f>E53+E55+E57</f>
        <v>-171.49999999999994</v>
      </c>
      <c r="F62" s="95">
        <f t="shared" si="30"/>
        <v>-166.40082999999976</v>
      </c>
      <c r="G62" s="95">
        <f>G53+G55+G57</f>
        <v>-363.82899999999972</v>
      </c>
      <c r="H62" s="95">
        <f>H53+H55+H57</f>
        <v>1033</v>
      </c>
      <c r="I62" s="95">
        <f>I53+I55+I57</f>
        <v>1941.3195554341974</v>
      </c>
      <c r="J62" s="95">
        <f t="shared" si="30"/>
        <v>2819.342741064092</v>
      </c>
      <c r="K62" s="95">
        <f t="shared" si="30"/>
        <v>3763.4210469495379</v>
      </c>
      <c r="L62" s="95">
        <f t="shared" si="30"/>
        <v>4817.981386623147</v>
      </c>
      <c r="M62" s="95">
        <f t="shared" si="30"/>
        <v>5710.6405385189182</v>
      </c>
      <c r="N62" s="95">
        <f t="shared" si="30"/>
        <v>6458.0972655946935</v>
      </c>
      <c r="O62" s="95">
        <f t="shared" si="30"/>
        <v>7617.3169950807678</v>
      </c>
    </row>
    <row r="63" spans="2:15" s="47" customFormat="1" ht="14.7" thickBot="1" x14ac:dyDescent="0.6">
      <c r="B63" s="46" t="s">
        <v>371</v>
      </c>
      <c r="C63" s="263">
        <f t="shared" ref="C63:O63" si="31">C62/C4</f>
        <v>-8.9683286296644821E-2</v>
      </c>
      <c r="D63" s="263">
        <f t="shared" si="31"/>
        <v>-0.15111909818657104</v>
      </c>
      <c r="E63" s="263">
        <f t="shared" si="31"/>
        <v>-0.23266856600189925</v>
      </c>
      <c r="F63" s="263">
        <f t="shared" si="31"/>
        <v>-9.8058413612415074E-2</v>
      </c>
      <c r="G63" s="263">
        <f t="shared" si="31"/>
        <v>-7.5953238412574356E-2</v>
      </c>
      <c r="H63" s="263">
        <f t="shared" si="31"/>
        <v>0.12867463876432486</v>
      </c>
      <c r="I63" s="263">
        <f t="shared" si="31"/>
        <v>0.16234944159086198</v>
      </c>
      <c r="J63" s="263">
        <f t="shared" si="31"/>
        <v>0.18494932994475785</v>
      </c>
      <c r="K63" s="263">
        <f t="shared" si="31"/>
        <v>0.20113540396367868</v>
      </c>
      <c r="L63" s="263">
        <f t="shared" si="31"/>
        <v>0.22065438547145416</v>
      </c>
      <c r="M63" s="263">
        <f t="shared" si="31"/>
        <v>0.23218397264439899</v>
      </c>
      <c r="N63" s="263">
        <f t="shared" si="31"/>
        <v>0.23718825366483173</v>
      </c>
      <c r="O63" s="263">
        <f t="shared" si="31"/>
        <v>0.25033172204322718</v>
      </c>
    </row>
    <row r="64" spans="2:15" s="28" customFormat="1" ht="14.4" x14ac:dyDescent="0.55000000000000004">
      <c r="B64" s="41"/>
      <c r="C64" s="48"/>
      <c r="D64" s="48"/>
      <c r="E64" s="48"/>
    </row>
    <row r="65" spans="2:15" s="32" customFormat="1" ht="14.4" x14ac:dyDescent="0.55000000000000004">
      <c r="B65" s="1047" t="s">
        <v>1435</v>
      </c>
      <c r="C65" s="49"/>
      <c r="D65" s="49"/>
      <c r="E65" s="49"/>
      <c r="G65" s="31">
        <f>G66-G62</f>
        <v>577.82899999999972</v>
      </c>
      <c r="H65" s="31">
        <f>H66-H62</f>
        <v>163.5</v>
      </c>
      <c r="I65" s="30">
        <f>H65*1.5</f>
        <v>245.25</v>
      </c>
      <c r="J65" s="30">
        <f>I65*1.35</f>
        <v>331.08750000000003</v>
      </c>
      <c r="K65" s="30">
        <f t="shared" ref="K65:O65" si="32">J65*1.05</f>
        <v>347.64187500000003</v>
      </c>
      <c r="L65" s="30">
        <f t="shared" si="32"/>
        <v>365.02396875000005</v>
      </c>
      <c r="M65" s="30">
        <f t="shared" si="32"/>
        <v>383.27516718750007</v>
      </c>
      <c r="N65" s="30">
        <f t="shared" si="32"/>
        <v>402.43892554687511</v>
      </c>
      <c r="O65" s="30">
        <f t="shared" si="32"/>
        <v>422.56087182421891</v>
      </c>
    </row>
    <row r="66" spans="2:15" s="32" customFormat="1" ht="14.4" x14ac:dyDescent="0.55000000000000004">
      <c r="B66" s="40" t="s">
        <v>1155</v>
      </c>
      <c r="C66" s="49"/>
      <c r="D66" s="49"/>
      <c r="E66" s="49"/>
      <c r="F66" s="95"/>
      <c r="G66" s="1184">
        <v>214</v>
      </c>
      <c r="H66" s="1184">
        <v>1196.5</v>
      </c>
      <c r="I66" s="95">
        <f t="shared" ref="I66:O66" si="33">I62+I65</f>
        <v>2186.5695554341974</v>
      </c>
      <c r="J66" s="95">
        <f t="shared" si="33"/>
        <v>3150.4302410640921</v>
      </c>
      <c r="K66" s="95">
        <f t="shared" si="33"/>
        <v>4111.0629219495377</v>
      </c>
      <c r="L66" s="95">
        <f t="shared" si="33"/>
        <v>5183.0053553731468</v>
      </c>
      <c r="M66" s="95">
        <f t="shared" si="33"/>
        <v>6093.9157057064185</v>
      </c>
      <c r="N66" s="95">
        <f t="shared" si="33"/>
        <v>6860.5361911415685</v>
      </c>
      <c r="O66" s="95">
        <f t="shared" si="33"/>
        <v>8039.8778669049871</v>
      </c>
    </row>
    <row r="67" spans="2:15" s="32" customFormat="1" ht="14.4" x14ac:dyDescent="0.55000000000000004">
      <c r="B67" s="17"/>
      <c r="C67" s="49"/>
      <c r="D67" s="49"/>
      <c r="E67" s="49"/>
      <c r="H67" s="39"/>
      <c r="I67" s="39"/>
    </row>
    <row r="68" spans="2:15" s="32" customFormat="1" ht="14.4" x14ac:dyDescent="0.55000000000000004">
      <c r="B68" s="118" t="s">
        <v>183</v>
      </c>
      <c r="C68" s="49"/>
      <c r="D68" s="49"/>
      <c r="E68" s="49">
        <f>F68-F72</f>
        <v>3161.0990970000003</v>
      </c>
      <c r="F68" s="50">
        <f>3450.222235+43.4</f>
        <v>3493.6222350000003</v>
      </c>
      <c r="G68" s="50">
        <v>3602</v>
      </c>
      <c r="H68" s="50">
        <v>3682</v>
      </c>
      <c r="I68" s="49">
        <f t="shared" ref="I68:O68" si="34">H68+I72</f>
        <v>3682</v>
      </c>
      <c r="J68" s="49">
        <f t="shared" si="34"/>
        <v>3682</v>
      </c>
      <c r="K68" s="49">
        <f t="shared" si="34"/>
        <v>3682</v>
      </c>
      <c r="L68" s="49">
        <f t="shared" si="34"/>
        <v>3682</v>
      </c>
      <c r="M68" s="49">
        <f t="shared" si="34"/>
        <v>3682</v>
      </c>
      <c r="N68" s="49">
        <f t="shared" si="34"/>
        <v>3682</v>
      </c>
      <c r="O68" s="49">
        <f t="shared" si="34"/>
        <v>3682</v>
      </c>
    </row>
    <row r="69" spans="2:15" s="32" customFormat="1" ht="14.4" x14ac:dyDescent="0.55000000000000004">
      <c r="B69" s="118" t="s">
        <v>184</v>
      </c>
      <c r="C69" s="49"/>
      <c r="D69" s="49"/>
      <c r="E69" s="49">
        <f>F69</f>
        <v>1150.2451140000001</v>
      </c>
      <c r="F69" s="50">
        <v>1150.2451140000001</v>
      </c>
      <c r="G69" s="50">
        <v>1091</v>
      </c>
      <c r="H69" s="50">
        <v>1083</v>
      </c>
      <c r="I69" s="49">
        <f t="shared" ref="I69:O69" si="35">H69</f>
        <v>1083</v>
      </c>
      <c r="J69" s="49">
        <f t="shared" si="35"/>
        <v>1083</v>
      </c>
      <c r="K69" s="49">
        <f t="shared" si="35"/>
        <v>1083</v>
      </c>
      <c r="L69" s="49">
        <f t="shared" si="35"/>
        <v>1083</v>
      </c>
      <c r="M69" s="49">
        <f t="shared" si="35"/>
        <v>1083</v>
      </c>
      <c r="N69" s="49">
        <f t="shared" si="35"/>
        <v>1083</v>
      </c>
      <c r="O69" s="49">
        <f t="shared" si="35"/>
        <v>1083</v>
      </c>
    </row>
    <row r="70" spans="2:15" s="32" customFormat="1" ht="14.4" x14ac:dyDescent="0.55000000000000004">
      <c r="B70" s="118" t="s">
        <v>185</v>
      </c>
      <c r="C70" s="49"/>
      <c r="D70" s="49"/>
      <c r="E70" s="49">
        <f>E68+E69</f>
        <v>4311.3442110000005</v>
      </c>
      <c r="F70" s="119">
        <f>SUM(F68:F69)</f>
        <v>4643.8673490000001</v>
      </c>
      <c r="G70" s="119">
        <f t="shared" ref="G70:O70" si="36">SUM(G68:G69)</f>
        <v>4693</v>
      </c>
      <c r="H70" s="119">
        <f t="shared" si="36"/>
        <v>4765</v>
      </c>
      <c r="I70" s="119">
        <f t="shared" si="36"/>
        <v>4765</v>
      </c>
      <c r="J70" s="119">
        <f t="shared" si="36"/>
        <v>4765</v>
      </c>
      <c r="K70" s="119">
        <f t="shared" si="36"/>
        <v>4765</v>
      </c>
      <c r="L70" s="119">
        <f t="shared" si="36"/>
        <v>4765</v>
      </c>
      <c r="M70" s="119">
        <f t="shared" si="36"/>
        <v>4765</v>
      </c>
      <c r="N70" s="119">
        <f t="shared" si="36"/>
        <v>4765</v>
      </c>
      <c r="O70" s="119">
        <f t="shared" si="36"/>
        <v>4765</v>
      </c>
    </row>
    <row r="71" spans="2:15" s="32" customFormat="1" ht="14.4" x14ac:dyDescent="0.55000000000000004">
      <c r="B71" s="118"/>
      <c r="C71" s="49"/>
      <c r="D71" s="49"/>
      <c r="E71" s="49"/>
      <c r="F71" s="119"/>
      <c r="G71" s="49"/>
      <c r="H71" s="49"/>
      <c r="I71" s="49"/>
      <c r="J71" s="49"/>
      <c r="K71" s="49"/>
      <c r="L71" s="49"/>
      <c r="M71" s="49"/>
      <c r="N71" s="49"/>
      <c r="O71" s="49"/>
    </row>
    <row r="72" spans="2:15" s="32" customFormat="1" ht="14.4" x14ac:dyDescent="0.55000000000000004">
      <c r="B72" s="217" t="s">
        <v>334</v>
      </c>
      <c r="C72" s="49"/>
      <c r="D72" s="49"/>
      <c r="E72" s="49"/>
      <c r="F72" s="119">
        <f>289.150555+(43.372583*1)</f>
        <v>332.52313800000002</v>
      </c>
      <c r="G72" s="119">
        <v>0</v>
      </c>
      <c r="H72" s="119">
        <v>17</v>
      </c>
      <c r="I72" s="119">
        <v>0</v>
      </c>
      <c r="J72" s="119">
        <v>0</v>
      </c>
      <c r="K72" s="119">
        <v>0</v>
      </c>
      <c r="L72" s="119">
        <v>0</v>
      </c>
      <c r="M72" s="119">
        <v>0</v>
      </c>
      <c r="N72" s="119">
        <v>0</v>
      </c>
      <c r="O72" s="119">
        <v>0</v>
      </c>
    </row>
    <row r="73" spans="2:15" s="32" customFormat="1" ht="14.4" x14ac:dyDescent="0.55000000000000004">
      <c r="B73" s="217" t="s">
        <v>335</v>
      </c>
      <c r="C73" s="49"/>
      <c r="D73" s="49"/>
      <c r="E73" s="49"/>
      <c r="F73" s="273"/>
      <c r="G73" s="49"/>
      <c r="H73" s="49"/>
      <c r="I73" s="49"/>
      <c r="J73" s="49"/>
      <c r="K73" s="49"/>
      <c r="L73" s="49"/>
      <c r="M73" s="49"/>
      <c r="N73" s="49"/>
      <c r="O73" s="49"/>
    </row>
    <row r="74" spans="2:15" s="32" customFormat="1" ht="14.4" x14ac:dyDescent="0.55000000000000004">
      <c r="B74" s="118"/>
      <c r="C74" s="49"/>
      <c r="D74" s="49"/>
      <c r="E74" s="49"/>
      <c r="F74" s="119"/>
      <c r="G74" s="49"/>
      <c r="H74" s="49"/>
      <c r="I74" s="49"/>
      <c r="J74" s="49"/>
      <c r="K74" s="49"/>
      <c r="L74" s="49"/>
      <c r="M74" s="49"/>
      <c r="N74" s="49"/>
      <c r="O74" s="49"/>
    </row>
    <row r="75" spans="2:15" s="32" customFormat="1" ht="14.4" x14ac:dyDescent="0.55000000000000004">
      <c r="B75" s="266" t="s">
        <v>384</v>
      </c>
      <c r="C75" s="49"/>
      <c r="D75" s="49"/>
      <c r="E75" s="49"/>
      <c r="F75" s="119"/>
      <c r="G75" s="49"/>
      <c r="H75" s="49"/>
      <c r="I75" s="49"/>
      <c r="J75" s="49"/>
      <c r="K75" s="49"/>
      <c r="L75" s="49"/>
      <c r="M75" s="49"/>
      <c r="N75" s="49"/>
      <c r="O75" s="49"/>
    </row>
    <row r="76" spans="2:15" s="32" customFormat="1" ht="14.4" x14ac:dyDescent="0.55000000000000004">
      <c r="B76" s="217" t="s">
        <v>336</v>
      </c>
      <c r="C76" s="49"/>
      <c r="D76" s="49"/>
      <c r="E76" s="49"/>
      <c r="F76" s="275">
        <v>8.5</v>
      </c>
      <c r="G76" s="49"/>
      <c r="H76" s="49"/>
      <c r="I76" s="49"/>
      <c r="J76" s="49"/>
      <c r="K76" s="49"/>
      <c r="L76" s="49"/>
      <c r="M76" s="49"/>
      <c r="N76" s="49"/>
      <c r="O76" s="49"/>
    </row>
    <row r="77" spans="2:15" s="32" customFormat="1" ht="14.4" x14ac:dyDescent="0.55000000000000004">
      <c r="B77" s="261" t="s">
        <v>337</v>
      </c>
      <c r="C77" s="49"/>
      <c r="D77" s="49"/>
      <c r="E77" s="49"/>
      <c r="F77" s="49">
        <f>F72*F76+271+401+400+400</f>
        <v>4298.4466730000004</v>
      </c>
      <c r="G77" s="49"/>
      <c r="H77" s="49"/>
      <c r="I77" s="49"/>
      <c r="J77" s="49"/>
      <c r="K77" s="49"/>
      <c r="L77" s="49"/>
      <c r="M77" s="49"/>
      <c r="N77" s="49"/>
      <c r="O77" s="49"/>
    </row>
    <row r="78" spans="2:15" s="32" customFormat="1" ht="14.4" x14ac:dyDescent="0.55000000000000004">
      <c r="B78" s="217" t="s">
        <v>338</v>
      </c>
      <c r="C78" s="49"/>
      <c r="D78" s="49"/>
      <c r="E78" s="49"/>
      <c r="F78" s="49">
        <f>0.03*F77</f>
        <v>128.95340019</v>
      </c>
      <c r="G78" s="49"/>
      <c r="H78" s="49"/>
      <c r="I78" s="49"/>
      <c r="J78" s="49"/>
      <c r="K78" s="49"/>
      <c r="L78" s="49"/>
      <c r="M78" s="49"/>
      <c r="N78" s="49"/>
      <c r="O78" s="49"/>
    </row>
    <row r="79" spans="2:15" s="32" customFormat="1" ht="14.4" x14ac:dyDescent="0.55000000000000004">
      <c r="B79" s="17"/>
      <c r="C79" s="49"/>
      <c r="D79" s="49"/>
      <c r="E79" s="49"/>
    </row>
    <row r="80" spans="2:15" s="32" customFormat="1" ht="14.4" x14ac:dyDescent="0.55000000000000004">
      <c r="B80" s="17" t="s">
        <v>17</v>
      </c>
      <c r="C80" s="51"/>
      <c r="D80" s="51"/>
      <c r="E80" s="51">
        <f>E62/E70</f>
        <v>-3.9778777014007227E-2</v>
      </c>
      <c r="F80" s="51">
        <f t="shared" ref="F80:O80" si="37">F62/F70</f>
        <v>-3.5832382256963509E-2</v>
      </c>
      <c r="G80" s="51">
        <f t="shared" si="37"/>
        <v>-7.7525889622842473E-2</v>
      </c>
      <c r="H80" s="51">
        <f t="shared" si="37"/>
        <v>0.21678908709338929</v>
      </c>
      <c r="I80" s="51">
        <f t="shared" si="37"/>
        <v>0.40741228865355661</v>
      </c>
      <c r="J80" s="51">
        <f t="shared" si="37"/>
        <v>0.59167738532299941</v>
      </c>
      <c r="K80" s="51">
        <f t="shared" si="37"/>
        <v>0.78980504657912654</v>
      </c>
      <c r="L80" s="51">
        <f t="shared" si="37"/>
        <v>1.0111188639293067</v>
      </c>
      <c r="M80" s="51">
        <f t="shared" si="37"/>
        <v>1.198455517002921</v>
      </c>
      <c r="N80" s="51">
        <f t="shared" si="37"/>
        <v>1.3553194681206073</v>
      </c>
      <c r="O80" s="51">
        <f t="shared" si="37"/>
        <v>1.5985974806045682</v>
      </c>
    </row>
    <row r="81" spans="2:15" s="32" customFormat="1" ht="14.4" x14ac:dyDescent="0.55000000000000004">
      <c r="B81" s="17" t="s">
        <v>18</v>
      </c>
      <c r="C81" s="51"/>
      <c r="D81" s="51"/>
      <c r="E81" s="51">
        <f>E62/E70</f>
        <v>-3.9778777014007227E-2</v>
      </c>
      <c r="F81" s="51">
        <f t="shared" ref="F81:O81" si="38">F62/F70</f>
        <v>-3.5832382256963509E-2</v>
      </c>
      <c r="G81" s="51">
        <f t="shared" si="38"/>
        <v>-7.7525889622842473E-2</v>
      </c>
      <c r="H81" s="51">
        <f t="shared" si="38"/>
        <v>0.21678908709338929</v>
      </c>
      <c r="I81" s="51">
        <f t="shared" si="38"/>
        <v>0.40741228865355661</v>
      </c>
      <c r="J81" s="51">
        <f t="shared" si="38"/>
        <v>0.59167738532299941</v>
      </c>
      <c r="K81" s="51">
        <f t="shared" si="38"/>
        <v>0.78980504657912654</v>
      </c>
      <c r="L81" s="51">
        <f t="shared" si="38"/>
        <v>1.0111188639293067</v>
      </c>
      <c r="M81" s="51">
        <f t="shared" si="38"/>
        <v>1.198455517002921</v>
      </c>
      <c r="N81" s="51">
        <f t="shared" si="38"/>
        <v>1.3553194681206073</v>
      </c>
      <c r="O81" s="51">
        <f t="shared" si="38"/>
        <v>1.5985974806045682</v>
      </c>
    </row>
    <row r="82" spans="2:15" s="32" customFormat="1" ht="14.4" x14ac:dyDescent="0.55000000000000004">
      <c r="B82" s="17"/>
      <c r="C82" s="51"/>
      <c r="D82" s="51"/>
      <c r="E82" s="51"/>
      <c r="F82" s="51"/>
      <c r="G82" s="51"/>
      <c r="H82" s="51"/>
      <c r="I82" s="51"/>
      <c r="J82" s="51"/>
      <c r="K82" s="51"/>
      <c r="L82" s="51"/>
      <c r="M82" s="51"/>
      <c r="N82" s="51"/>
      <c r="O82" s="51"/>
    </row>
    <row r="83" spans="2:15" s="32" customFormat="1" ht="14.4" x14ac:dyDescent="0.55000000000000004">
      <c r="B83" s="17" t="s">
        <v>19</v>
      </c>
      <c r="C83" s="51"/>
      <c r="D83" s="51"/>
      <c r="E83" s="51">
        <v>0</v>
      </c>
      <c r="F83" s="51">
        <v>0</v>
      </c>
      <c r="G83" s="51">
        <v>0</v>
      </c>
      <c r="H83" s="51">
        <v>0</v>
      </c>
      <c r="I83" s="269">
        <v>0</v>
      </c>
      <c r="J83" s="269">
        <v>0</v>
      </c>
      <c r="K83" s="269">
        <v>0</v>
      </c>
      <c r="L83" s="269">
        <v>0</v>
      </c>
      <c r="M83" s="51">
        <f>-M161/M70</f>
        <v>0</v>
      </c>
      <c r="N83" s="51">
        <f>-N161/N70</f>
        <v>0</v>
      </c>
      <c r="O83" s="51">
        <f>-O161/O70</f>
        <v>0</v>
      </c>
    </row>
    <row r="84" spans="2:15" s="32" customFormat="1" ht="14.4" x14ac:dyDescent="0.55000000000000004">
      <c r="B84" s="17" t="s">
        <v>20</v>
      </c>
      <c r="C84" s="51"/>
      <c r="D84" s="51"/>
      <c r="E84" s="51">
        <v>0</v>
      </c>
      <c r="F84" s="51">
        <v>0</v>
      </c>
      <c r="G84" s="51">
        <v>0</v>
      </c>
      <c r="H84" s="51">
        <v>0</v>
      </c>
      <c r="I84" s="269">
        <v>0</v>
      </c>
      <c r="J84" s="269">
        <v>0</v>
      </c>
      <c r="K84" s="269">
        <v>0</v>
      </c>
      <c r="L84" s="51">
        <f>L85*L81</f>
        <v>0.70778320475051471</v>
      </c>
      <c r="M84" s="51">
        <f t="shared" ref="M84:O84" si="39">M85*M81</f>
        <v>0.83891886190204468</v>
      </c>
      <c r="N84" s="51">
        <f t="shared" si="39"/>
        <v>0.94872362768442509</v>
      </c>
      <c r="O84" s="51">
        <f t="shared" si="39"/>
        <v>1.1190182364231978</v>
      </c>
    </row>
    <row r="85" spans="2:15" s="32" customFormat="1" ht="14.4" x14ac:dyDescent="0.55000000000000004">
      <c r="B85" s="1301" t="s">
        <v>2375</v>
      </c>
      <c r="C85" s="51"/>
      <c r="D85" s="51"/>
      <c r="E85" s="51"/>
      <c r="F85" s="51"/>
      <c r="G85" s="51"/>
      <c r="H85" s="51"/>
      <c r="I85" s="951">
        <f>I84/I81</f>
        <v>0</v>
      </c>
      <c r="J85" s="951">
        <f t="shared" ref="J85:K85" si="40">J84/J81</f>
        <v>0</v>
      </c>
      <c r="K85" s="951">
        <f t="shared" si="40"/>
        <v>0</v>
      </c>
      <c r="L85" s="273">
        <v>0.7</v>
      </c>
      <c r="M85" s="273">
        <v>0.7</v>
      </c>
      <c r="N85" s="273">
        <v>0.7</v>
      </c>
      <c r="O85" s="273">
        <v>0.7</v>
      </c>
    </row>
    <row r="86" spans="2:15" s="32" customFormat="1" ht="14.4" x14ac:dyDescent="0.55000000000000004">
      <c r="B86" s="1301" t="s">
        <v>1709</v>
      </c>
      <c r="C86" s="49"/>
      <c r="D86" s="49"/>
      <c r="E86" s="49"/>
      <c r="I86" s="49">
        <f>I84*I70</f>
        <v>0</v>
      </c>
      <c r="J86" s="49">
        <f t="shared" ref="J86:O86" si="41">J84*J70</f>
        <v>0</v>
      </c>
      <c r="K86" s="49">
        <f t="shared" si="41"/>
        <v>0</v>
      </c>
      <c r="L86" s="49">
        <f t="shared" si="41"/>
        <v>3372.5869706362028</v>
      </c>
      <c r="M86" s="49">
        <f t="shared" si="41"/>
        <v>3997.4483769632429</v>
      </c>
      <c r="N86" s="49">
        <f t="shared" si="41"/>
        <v>4520.6680859162852</v>
      </c>
      <c r="O86" s="49">
        <f t="shared" si="41"/>
        <v>5332.1218965565376</v>
      </c>
    </row>
    <row r="87" spans="2:15" s="32" customFormat="1" ht="14.4" x14ac:dyDescent="0.55000000000000004">
      <c r="B87" s="17"/>
      <c r="C87" s="49"/>
      <c r="D87" s="49"/>
      <c r="E87" s="49"/>
    </row>
    <row r="88" spans="2:15" s="32" customFormat="1" ht="14.4" x14ac:dyDescent="0.55000000000000004">
      <c r="B88" s="40" t="s">
        <v>2388</v>
      </c>
      <c r="C88" s="49"/>
      <c r="D88" s="49"/>
      <c r="E88" s="49"/>
    </row>
    <row r="89" spans="2:15" s="32" customFormat="1" ht="14.4" x14ac:dyDescent="0.55000000000000004">
      <c r="B89" s="17"/>
      <c r="C89" s="49"/>
      <c r="D89" s="49"/>
      <c r="E89" s="49"/>
    </row>
    <row r="90" spans="2:15" s="32" customFormat="1" ht="14.4" x14ac:dyDescent="0.55000000000000004">
      <c r="B90" s="40" t="s">
        <v>1299</v>
      </c>
      <c r="C90" s="49"/>
      <c r="D90" s="49"/>
      <c r="E90" s="49"/>
    </row>
    <row r="91" spans="2:15" s="32" customFormat="1" ht="14.4" x14ac:dyDescent="0.55000000000000004">
      <c r="B91" s="1301" t="s">
        <v>78</v>
      </c>
      <c r="C91" s="49"/>
      <c r="D91" s="49"/>
      <c r="E91" s="49"/>
      <c r="F91" s="31">
        <f>F224</f>
        <v>4442.5409999999993</v>
      </c>
      <c r="G91" s="31">
        <f t="shared" ref="G91:O91" si="42">G224</f>
        <v>4890.0829999999996</v>
      </c>
      <c r="H91" s="31">
        <f t="shared" si="42"/>
        <v>6405.0839999999998</v>
      </c>
      <c r="I91" s="31">
        <f t="shared" si="42"/>
        <v>8346.403555434199</v>
      </c>
      <c r="J91" s="31">
        <f t="shared" si="42"/>
        <v>11165.74629649829</v>
      </c>
      <c r="K91" s="31">
        <f t="shared" si="42"/>
        <v>14929.167343447827</v>
      </c>
      <c r="L91" s="31">
        <f t="shared" si="42"/>
        <v>16374.561759434773</v>
      </c>
      <c r="M91" s="31">
        <f t="shared" si="42"/>
        <v>18087.753920990446</v>
      </c>
      <c r="N91" s="31">
        <f t="shared" si="42"/>
        <v>20025.183100668855</v>
      </c>
      <c r="O91" s="31">
        <f t="shared" si="42"/>
        <v>22310.378199193085</v>
      </c>
    </row>
    <row r="92" spans="2:15" s="32" customFormat="1" ht="14.4" x14ac:dyDescent="0.55000000000000004">
      <c r="B92" s="1301" t="s">
        <v>24</v>
      </c>
      <c r="C92" s="49"/>
      <c r="D92" s="49"/>
      <c r="E92" s="49"/>
      <c r="F92" s="31">
        <f>F62</f>
        <v>-166.40082999999976</v>
      </c>
      <c r="G92" s="31">
        <f t="shared" ref="G92:O92" si="43">G62</f>
        <v>-363.82899999999972</v>
      </c>
      <c r="H92" s="31">
        <f t="shared" si="43"/>
        <v>1033</v>
      </c>
      <c r="I92" s="31">
        <f t="shared" si="43"/>
        <v>1941.3195554341974</v>
      </c>
      <c r="J92" s="31">
        <f t="shared" si="43"/>
        <v>2819.342741064092</v>
      </c>
      <c r="K92" s="31">
        <f t="shared" si="43"/>
        <v>3763.4210469495379</v>
      </c>
      <c r="L92" s="31">
        <f t="shared" si="43"/>
        <v>4817.981386623147</v>
      </c>
      <c r="M92" s="31">
        <f t="shared" si="43"/>
        <v>5710.6405385189182</v>
      </c>
      <c r="N92" s="31">
        <f t="shared" si="43"/>
        <v>6458.0972655946935</v>
      </c>
      <c r="O92" s="31">
        <f t="shared" si="43"/>
        <v>7617.3169950807678</v>
      </c>
    </row>
    <row r="93" spans="2:15" s="32" customFormat="1" ht="14.4" x14ac:dyDescent="0.55000000000000004">
      <c r="B93" s="1301" t="s">
        <v>1085</v>
      </c>
      <c r="C93" s="49"/>
      <c r="D93" s="49"/>
      <c r="E93" s="49"/>
      <c r="F93" s="184">
        <f>F92/F91</f>
        <v>-3.7456228316182068E-2</v>
      </c>
      <c r="G93" s="184">
        <f t="shared" ref="G93:O93" si="44">G92/G91</f>
        <v>-7.440139564093283E-2</v>
      </c>
      <c r="H93" s="184">
        <f t="shared" si="44"/>
        <v>0.16127813468176219</v>
      </c>
      <c r="I93" s="184">
        <f t="shared" si="44"/>
        <v>0.23259354074369407</v>
      </c>
      <c r="J93" s="184">
        <f t="shared" si="44"/>
        <v>0.25249926571842951</v>
      </c>
      <c r="K93" s="184">
        <f t="shared" si="44"/>
        <v>0.2520851270785201</v>
      </c>
      <c r="L93" s="184">
        <f t="shared" si="44"/>
        <v>0.29423574550611098</v>
      </c>
      <c r="M93" s="184">
        <f t="shared" si="44"/>
        <v>0.31571861069449003</v>
      </c>
      <c r="N93" s="184">
        <f t="shared" si="44"/>
        <v>0.32249878730841608</v>
      </c>
      <c r="O93" s="184">
        <f t="shared" si="44"/>
        <v>0.34142482601914248</v>
      </c>
    </row>
    <row r="94" spans="2:15" s="32" customFormat="1" ht="14.4" x14ac:dyDescent="0.55000000000000004">
      <c r="B94" s="17"/>
      <c r="C94" s="49"/>
      <c r="D94" s="49"/>
      <c r="E94" s="49"/>
    </row>
    <row r="95" spans="2:15" s="32" customFormat="1" ht="14.4" x14ac:dyDescent="0.55000000000000004">
      <c r="B95" s="40" t="s">
        <v>2391</v>
      </c>
      <c r="C95" s="49"/>
      <c r="D95" s="49"/>
      <c r="E95" s="49"/>
    </row>
    <row r="96" spans="2:15" s="32" customFormat="1" ht="14.4" x14ac:dyDescent="0.55000000000000004">
      <c r="B96" s="1304" t="str">
        <f>B91</f>
        <v>Equity</v>
      </c>
      <c r="C96" s="49"/>
      <c r="D96" s="49"/>
      <c r="E96" s="49"/>
      <c r="F96" s="31"/>
      <c r="G96" s="31">
        <f>G91-G106</f>
        <v>4410.814707317073</v>
      </c>
      <c r="H96" s="31">
        <f>H91-H106</f>
        <v>5949.42954973822</v>
      </c>
      <c r="I96" s="31">
        <f t="shared" ref="I96:O96" si="45">I91-I106</f>
        <v>8014.6241051724191</v>
      </c>
      <c r="J96" s="31">
        <f t="shared" si="45"/>
        <v>11033.96684623651</v>
      </c>
      <c r="K96" s="31">
        <f t="shared" si="45"/>
        <v>14847.387893186047</v>
      </c>
      <c r="L96" s="31">
        <f t="shared" si="45"/>
        <v>16267.782309172993</v>
      </c>
      <c r="M96" s="31">
        <f t="shared" si="45"/>
        <v>17006.190157786801</v>
      </c>
      <c r="N96" s="31">
        <f t="shared" si="45"/>
        <v>17782.575822298899</v>
      </c>
      <c r="O96" s="31">
        <f t="shared" si="45"/>
        <v>18674.790422349903</v>
      </c>
    </row>
    <row r="97" spans="2:15" s="32" customFormat="1" ht="14.4" x14ac:dyDescent="0.55000000000000004">
      <c r="B97" s="1304" t="str">
        <f>B92</f>
        <v>Net income</v>
      </c>
      <c r="C97" s="49"/>
      <c r="D97" s="49"/>
      <c r="E97" s="49"/>
      <c r="F97" s="31"/>
      <c r="G97" s="31">
        <f>G92-G107</f>
        <v>-359.16931413612537</v>
      </c>
      <c r="H97" s="31">
        <f>H92-H107</f>
        <v>1093.628272251309</v>
      </c>
      <c r="I97" s="31">
        <f t="shared" ref="I97:O97" si="46">I92-I107</f>
        <v>2065.1945554341974</v>
      </c>
      <c r="J97" s="31">
        <f t="shared" si="46"/>
        <v>3019.342741064092</v>
      </c>
      <c r="K97" s="31">
        <f t="shared" si="46"/>
        <v>3813.4210469495379</v>
      </c>
      <c r="L97" s="31">
        <f t="shared" si="46"/>
        <v>4792.981386623147</v>
      </c>
      <c r="M97" s="31">
        <f t="shared" si="46"/>
        <v>4735.8562255770548</v>
      </c>
      <c r="N97" s="31">
        <f t="shared" si="46"/>
        <v>5297.0537504283802</v>
      </c>
      <c r="O97" s="31">
        <f t="shared" si="46"/>
        <v>6224.3364966075424</v>
      </c>
    </row>
    <row r="98" spans="2:15" s="32" customFormat="1" ht="14.4" x14ac:dyDescent="0.55000000000000004">
      <c r="B98" s="1304" t="str">
        <f>B93</f>
        <v>ROE</v>
      </c>
      <c r="C98" s="49"/>
      <c r="D98" s="49"/>
      <c r="E98" s="49"/>
      <c r="F98" s="39"/>
      <c r="G98" s="184">
        <f>G97/G96</f>
        <v>-8.1429245608595074E-2</v>
      </c>
      <c r="H98" s="184">
        <f>H97/H96</f>
        <v>0.18382069459069897</v>
      </c>
      <c r="I98" s="184">
        <f t="shared" ref="I98:O98" si="47">I97/I96</f>
        <v>0.25767828014558752</v>
      </c>
      <c r="J98" s="184">
        <f t="shared" si="47"/>
        <v>0.27364072986080579</v>
      </c>
      <c r="K98" s="184">
        <f t="shared" si="47"/>
        <v>0.2568412083245728</v>
      </c>
      <c r="L98" s="184">
        <f t="shared" si="47"/>
        <v>0.29463028798464469</v>
      </c>
      <c r="M98" s="184">
        <f t="shared" si="47"/>
        <v>0.27847837649919488</v>
      </c>
      <c r="N98" s="184">
        <f t="shared" si="47"/>
        <v>0.29787887892967729</v>
      </c>
      <c r="O98" s="184">
        <f t="shared" si="47"/>
        <v>0.33330154480118207</v>
      </c>
    </row>
    <row r="99" spans="2:15" s="32" customFormat="1" ht="14.4" x14ac:dyDescent="0.55000000000000004">
      <c r="B99" s="17"/>
      <c r="C99" s="49"/>
      <c r="D99" s="49"/>
      <c r="E99" s="49"/>
    </row>
    <row r="100" spans="2:15" s="32" customFormat="1" ht="14.4" x14ac:dyDescent="0.55000000000000004">
      <c r="B100" s="40" t="s">
        <v>228</v>
      </c>
      <c r="C100" s="49"/>
      <c r="D100" s="49"/>
      <c r="E100" s="49"/>
    </row>
    <row r="101" spans="2:15" s="32" customFormat="1" ht="14.4" x14ac:dyDescent="0.55000000000000004">
      <c r="B101" s="1301" t="str">
        <f>B91</f>
        <v>Equity</v>
      </c>
      <c r="C101" s="49"/>
      <c r="D101" s="49"/>
      <c r="E101" s="49"/>
      <c r="F101" s="32">
        <f>F102/F103</f>
        <v>500</v>
      </c>
      <c r="G101" s="31">
        <f>G102/G103</f>
        <v>1233.3333333333335</v>
      </c>
      <c r="H101" s="31">
        <f>Quarts!U130</f>
        <v>2197</v>
      </c>
    </row>
    <row r="102" spans="2:15" s="32" customFormat="1" ht="14.4" x14ac:dyDescent="0.55000000000000004">
      <c r="B102" s="1301" t="str">
        <f>B92</f>
        <v>Net income</v>
      </c>
      <c r="C102" s="49"/>
      <c r="D102" s="49"/>
      <c r="E102" s="49"/>
      <c r="F102" s="32">
        <v>-20</v>
      </c>
      <c r="G102" s="32">
        <v>185</v>
      </c>
      <c r="H102" s="31"/>
    </row>
    <row r="103" spans="2:15" s="32" customFormat="1" ht="14.4" x14ac:dyDescent="0.55000000000000004">
      <c r="B103" s="1301" t="str">
        <f>B93</f>
        <v>ROE</v>
      </c>
      <c r="C103" s="49"/>
      <c r="D103" s="49"/>
      <c r="E103" s="49"/>
      <c r="F103" s="39">
        <v>-0.04</v>
      </c>
      <c r="G103" s="39">
        <v>0.15</v>
      </c>
      <c r="H103" s="39"/>
    </row>
    <row r="104" spans="2:15" s="32" customFormat="1" ht="14.4" x14ac:dyDescent="0.55000000000000004">
      <c r="B104" s="1301"/>
      <c r="C104" s="49"/>
      <c r="D104" s="49"/>
      <c r="E104" s="49"/>
    </row>
    <row r="105" spans="2:15" s="32" customFormat="1" ht="14.4" x14ac:dyDescent="0.55000000000000004">
      <c r="B105" s="40" t="s">
        <v>229</v>
      </c>
      <c r="C105" s="49"/>
      <c r="D105" s="49"/>
      <c r="E105" s="49"/>
    </row>
    <row r="106" spans="2:15" s="32" customFormat="1" ht="14.4" x14ac:dyDescent="0.55000000000000004">
      <c r="B106" s="1301" t="str">
        <f>B101</f>
        <v>Equity</v>
      </c>
      <c r="C106" s="49"/>
      <c r="D106" s="49"/>
      <c r="E106" s="49"/>
      <c r="G106" s="31">
        <f>9825/20.5</f>
        <v>479.26829268292681</v>
      </c>
      <c r="H106" s="31">
        <f>8703/19.1</f>
        <v>455.65445026178008</v>
      </c>
      <c r="I106" s="31">
        <f>H106+I107</f>
        <v>331.77945026178008</v>
      </c>
      <c r="J106" s="31">
        <f>I106+J107</f>
        <v>131.77945026178008</v>
      </c>
      <c r="K106" s="31">
        <f t="shared" ref="K106:O106" si="48">J106+K107</f>
        <v>81.779450261780084</v>
      </c>
      <c r="L106" s="31">
        <f t="shared" si="48"/>
        <v>106.77945026178008</v>
      </c>
      <c r="M106" s="31">
        <f t="shared" si="48"/>
        <v>1081.5637632036437</v>
      </c>
      <c r="N106" s="31">
        <f t="shared" si="48"/>
        <v>2242.6072783699574</v>
      </c>
      <c r="O106" s="31">
        <f t="shared" si="48"/>
        <v>3635.5877768431828</v>
      </c>
    </row>
    <row r="107" spans="2:15" s="32" customFormat="1" ht="14.4" x14ac:dyDescent="0.55000000000000004">
      <c r="B107" s="1301" t="str">
        <f>B102</f>
        <v>Net income</v>
      </c>
      <c r="C107" s="49"/>
      <c r="D107" s="49"/>
      <c r="E107" s="49"/>
      <c r="G107" s="31">
        <f>-89/19.1</f>
        <v>-4.659685863874345</v>
      </c>
      <c r="H107" s="31">
        <f>-1158/19.1</f>
        <v>-60.628272251308893</v>
      </c>
      <c r="I107" s="31">
        <f>-991*2.5/20</f>
        <v>-123.875</v>
      </c>
      <c r="J107" s="30">
        <v>-200</v>
      </c>
      <c r="K107" s="30">
        <v>-50</v>
      </c>
      <c r="L107" s="30">
        <v>25</v>
      </c>
      <c r="M107" s="30">
        <f>Analysis!I1477*M92</f>
        <v>974.78431294186373</v>
      </c>
      <c r="N107" s="30">
        <f>Analysis!J1477*N92</f>
        <v>1161.0435151663135</v>
      </c>
      <c r="O107" s="30">
        <f>Analysis!K1477*O92</f>
        <v>1392.9804984732255</v>
      </c>
    </row>
    <row r="108" spans="2:15" s="32" customFormat="1" ht="14.4" x14ac:dyDescent="0.55000000000000004">
      <c r="B108" s="1301" t="str">
        <f>B103</f>
        <v>ROE</v>
      </c>
      <c r="C108" s="49"/>
      <c r="D108" s="49"/>
      <c r="E108" s="49"/>
      <c r="G108" s="39">
        <f>G107/G106</f>
        <v>-9.7224997668625013E-3</v>
      </c>
      <c r="H108" s="39">
        <f>H107/H106</f>
        <v>-0.13305756635642882</v>
      </c>
      <c r="I108" s="39">
        <f>I107/I106</f>
        <v>-0.37336549898512505</v>
      </c>
      <c r="J108" s="39">
        <f t="shared" ref="J108:O108" si="49">J107/J106</f>
        <v>-1.5176873146966365</v>
      </c>
      <c r="K108" s="39">
        <f t="shared" si="49"/>
        <v>-0.61140053937691574</v>
      </c>
      <c r="L108" s="39">
        <f t="shared" si="49"/>
        <v>0.23412744623342879</v>
      </c>
      <c r="M108" s="39">
        <f t="shared" si="49"/>
        <v>0.90127308819454699</v>
      </c>
      <c r="N108" s="39">
        <f t="shared" si="49"/>
        <v>0.51772039017469873</v>
      </c>
      <c r="O108" s="39">
        <f t="shared" si="49"/>
        <v>0.38315138678422017</v>
      </c>
    </row>
    <row r="109" spans="2:15" s="32" customFormat="1" ht="14.4" x14ac:dyDescent="0.55000000000000004">
      <c r="B109" s="17"/>
      <c r="C109" s="49"/>
      <c r="D109" s="49"/>
      <c r="E109" s="49"/>
    </row>
    <row r="110" spans="2:15" s="32" customFormat="1" ht="14.4" x14ac:dyDescent="0.55000000000000004">
      <c r="B110" s="40" t="s">
        <v>230</v>
      </c>
      <c r="C110" s="49"/>
      <c r="D110" s="49"/>
      <c r="E110" s="49"/>
    </row>
    <row r="111" spans="2:15" s="32" customFormat="1" ht="14.4" x14ac:dyDescent="0.55000000000000004">
      <c r="B111" s="1303" t="str">
        <f>B106</f>
        <v>Equity</v>
      </c>
      <c r="C111" s="49"/>
      <c r="D111" s="49"/>
      <c r="E111" s="49"/>
      <c r="G111" s="32">
        <v>300</v>
      </c>
      <c r="H111" s="32">
        <f>I111-150</f>
        <v>300</v>
      </c>
      <c r="I111" s="32">
        <v>450</v>
      </c>
    </row>
    <row r="112" spans="2:15" s="32" customFormat="1" ht="14.4" x14ac:dyDescent="0.55000000000000004">
      <c r="B112" s="1303" t="str">
        <f>B107</f>
        <v>Net income</v>
      </c>
      <c r="C112" s="49"/>
      <c r="D112" s="49"/>
      <c r="E112" s="49"/>
      <c r="G112" s="32">
        <v>-25</v>
      </c>
      <c r="H112" s="32">
        <v>-25</v>
      </c>
      <c r="I112" s="32">
        <v>-25</v>
      </c>
    </row>
    <row r="113" spans="2:15" s="32" customFormat="1" ht="14.4" x14ac:dyDescent="0.55000000000000004">
      <c r="B113" s="1303" t="str">
        <f>B108</f>
        <v>ROE</v>
      </c>
      <c r="C113" s="49"/>
      <c r="D113" s="49"/>
      <c r="E113" s="49"/>
      <c r="G113" s="39">
        <f>G112/G111</f>
        <v>-8.3333333333333329E-2</v>
      </c>
      <c r="H113" s="39">
        <f>H112/H111</f>
        <v>-8.3333333333333329E-2</v>
      </c>
      <c r="I113" s="39">
        <f>I112/I111</f>
        <v>-5.5555555555555552E-2</v>
      </c>
    </row>
    <row r="114" spans="2:15" s="32" customFormat="1" ht="14.4" x14ac:dyDescent="0.55000000000000004">
      <c r="B114" s="17"/>
      <c r="C114" s="49"/>
      <c r="D114" s="49"/>
      <c r="E114" s="49"/>
    </row>
    <row r="115" spans="2:15" s="32" customFormat="1" ht="14.4" x14ac:dyDescent="0.55000000000000004">
      <c r="B115" s="40" t="s">
        <v>2390</v>
      </c>
      <c r="C115" s="49"/>
      <c r="D115" s="49"/>
      <c r="E115" s="49"/>
    </row>
    <row r="116" spans="2:15" s="32" customFormat="1" ht="14.4" x14ac:dyDescent="0.55000000000000004">
      <c r="B116" s="1301" t="s">
        <v>78</v>
      </c>
      <c r="C116" s="49"/>
      <c r="D116" s="49"/>
      <c r="E116" s="49"/>
      <c r="F116" s="31">
        <f>F91-F101-F106-F111</f>
        <v>3942.5409999999993</v>
      </c>
      <c r="G116" s="31">
        <f>G91-G101-G106-G111</f>
        <v>2877.4813739837391</v>
      </c>
      <c r="H116" s="31">
        <f>H91-H101-H106-H111</f>
        <v>3452.42954973822</v>
      </c>
    </row>
    <row r="117" spans="2:15" s="32" customFormat="1" ht="14.4" x14ac:dyDescent="0.55000000000000004">
      <c r="B117" s="1301"/>
      <c r="C117" s="49"/>
      <c r="D117" s="49"/>
      <c r="E117" s="49"/>
      <c r="F117" s="31"/>
      <c r="G117" s="31"/>
      <c r="H117" s="31"/>
    </row>
    <row r="118" spans="2:15" s="32" customFormat="1" ht="14.4" x14ac:dyDescent="0.55000000000000004">
      <c r="B118" s="17"/>
      <c r="C118" s="49"/>
      <c r="D118" s="49"/>
      <c r="E118" s="49"/>
    </row>
    <row r="119" spans="2:15" s="32" customFormat="1" x14ac:dyDescent="0.6">
      <c r="B119" s="20" t="s">
        <v>21</v>
      </c>
      <c r="C119"/>
      <c r="D119"/>
      <c r="E119"/>
    </row>
    <row r="120" spans="2:15" s="32" customFormat="1" x14ac:dyDescent="0.6">
      <c r="B120" s="17"/>
      <c r="C120"/>
      <c r="D120"/>
      <c r="E120"/>
    </row>
    <row r="121" spans="2:15" s="32" customFormat="1" ht="14.4" x14ac:dyDescent="0.55000000000000004">
      <c r="B121" s="99" t="s">
        <v>22</v>
      </c>
      <c r="C121" s="56"/>
      <c r="D121" s="56"/>
      <c r="E121" s="56"/>
      <c r="F121" s="23"/>
      <c r="G121" s="23"/>
      <c r="H121" s="23"/>
      <c r="I121" s="23"/>
      <c r="J121" s="23"/>
      <c r="K121" s="23"/>
      <c r="L121" s="23"/>
      <c r="M121" s="23"/>
      <c r="N121" s="23"/>
      <c r="O121" s="23"/>
    </row>
    <row r="122" spans="2:15" s="100" customFormat="1" ht="14.7" thickBot="1" x14ac:dyDescent="0.6">
      <c r="B122" s="68" t="s">
        <v>23</v>
      </c>
      <c r="C122" s="54">
        <f t="shared" ref="C122:O122" si="50">C123+C134</f>
        <v>-5.4629999999999086</v>
      </c>
      <c r="D122" s="54">
        <f t="shared" si="50"/>
        <v>276.16799999999989</v>
      </c>
      <c r="E122" s="54">
        <f t="shared" si="50"/>
        <v>977.15699999999958</v>
      </c>
      <c r="F122" s="54">
        <f t="shared" si="50"/>
        <v>-2925.38483</v>
      </c>
      <c r="G122" s="54">
        <f t="shared" si="50"/>
        <v>541.11556111320806</v>
      </c>
      <c r="H122" s="54">
        <f t="shared" si="50"/>
        <v>1824.0277473636811</v>
      </c>
      <c r="I122" s="54">
        <f t="shared" ca="1" si="50"/>
        <v>4568.8388530352058</v>
      </c>
      <c r="J122" s="54">
        <f t="shared" ca="1" si="50"/>
        <v>12629.600415740448</v>
      </c>
      <c r="K122" s="54">
        <f t="shared" ca="1" si="50"/>
        <v>12739.123864699304</v>
      </c>
      <c r="L122" s="54">
        <f t="shared" ca="1" si="50"/>
        <v>14796.188756537087</v>
      </c>
      <c r="M122" s="54">
        <f t="shared" ca="1" si="50"/>
        <v>16310.44026981782</v>
      </c>
      <c r="N122" s="54">
        <f t="shared" ca="1" si="50"/>
        <v>17932.574981706624</v>
      </c>
      <c r="O122" s="54">
        <f t="shared" ca="1" si="50"/>
        <v>19726.598845558277</v>
      </c>
    </row>
    <row r="123" spans="2:15" s="31" customFormat="1" ht="14.4" x14ac:dyDescent="0.55000000000000004">
      <c r="B123" s="57" t="s">
        <v>141</v>
      </c>
      <c r="C123" s="56">
        <f>C124+C125+C126+C127+C129+C131+C132+C133</f>
        <v>142.83799999999999</v>
      </c>
      <c r="D123" s="56">
        <f>D124+D125+D126+D127+D129+D131+D132+D133</f>
        <v>111.5769999999999</v>
      </c>
      <c r="E123" s="56">
        <f>E124+E125+E126+E127+E129+E131+E132+E133</f>
        <v>106.08900000000006</v>
      </c>
      <c r="F123" s="23">
        <f>F124+F125+F126+F127+F129+F131+F132+F133+F128+F130</f>
        <v>292.42017000000021</v>
      </c>
      <c r="G123" s="23">
        <f t="shared" ref="G123:O123" si="51">G124+G125+G126+G127+G129+G131+G132+G133+G128+G130</f>
        <v>673.11556111320806</v>
      </c>
      <c r="H123" s="23">
        <f t="shared" si="51"/>
        <v>2724.0277473636811</v>
      </c>
      <c r="I123" s="23">
        <f t="shared" si="51"/>
        <v>4661.2654234066922</v>
      </c>
      <c r="J123" s="23">
        <f t="shared" si="51"/>
        <v>7191.580085590801</v>
      </c>
      <c r="K123" s="23">
        <f t="shared" si="51"/>
        <v>9108.1033586647573</v>
      </c>
      <c r="L123" s="23">
        <f t="shared" si="51"/>
        <v>10625.504677204672</v>
      </c>
      <c r="M123" s="23">
        <f t="shared" si="51"/>
        <v>11845.448361309023</v>
      </c>
      <c r="N123" s="23">
        <f t="shared" si="51"/>
        <v>13050.722197973129</v>
      </c>
      <c r="O123" s="23">
        <f t="shared" si="51"/>
        <v>14541.730483555228</v>
      </c>
    </row>
    <row r="124" spans="2:15" x14ac:dyDescent="0.6">
      <c r="B124" s="58" t="s">
        <v>24</v>
      </c>
      <c r="C124" s="97">
        <f>C62</f>
        <v>-28.600000000000033</v>
      </c>
      <c r="D124" s="97">
        <f>D62</f>
        <v>-92.500000000000114</v>
      </c>
      <c r="E124" s="97">
        <f>E62</f>
        <v>-171.49999999999994</v>
      </c>
      <c r="F124" s="97">
        <f t="shared" ref="F124:O124" si="52">F62</f>
        <v>-166.40082999999976</v>
      </c>
      <c r="G124" s="97">
        <f t="shared" si="52"/>
        <v>-363.82899999999972</v>
      </c>
      <c r="H124" s="97">
        <f t="shared" si="52"/>
        <v>1033</v>
      </c>
      <c r="I124" s="97">
        <f t="shared" si="52"/>
        <v>1941.3195554341974</v>
      </c>
      <c r="J124" s="97">
        <f t="shared" si="52"/>
        <v>2819.342741064092</v>
      </c>
      <c r="K124" s="97">
        <f t="shared" si="52"/>
        <v>3763.4210469495379</v>
      </c>
      <c r="L124" s="97">
        <f t="shared" si="52"/>
        <v>4817.981386623147</v>
      </c>
      <c r="M124" s="97">
        <f t="shared" si="52"/>
        <v>5710.6405385189182</v>
      </c>
      <c r="N124" s="97">
        <f t="shared" si="52"/>
        <v>6458.0972655946935</v>
      </c>
      <c r="O124" s="97">
        <f t="shared" si="52"/>
        <v>7617.3169950807678</v>
      </c>
    </row>
    <row r="125" spans="2:15" x14ac:dyDescent="0.6">
      <c r="B125" s="58" t="s">
        <v>26</v>
      </c>
      <c r="C125" s="151">
        <v>1.071</v>
      </c>
      <c r="D125" s="151">
        <v>5.0730000000000004</v>
      </c>
      <c r="E125" s="151">
        <v>7.4279999999999999</v>
      </c>
      <c r="F125" s="151">
        <v>17.338999999999999</v>
      </c>
      <c r="G125" s="151">
        <f t="shared" ref="G125:O125" si="53">F125/F4*G4</f>
        <v>48.944561113207769</v>
      </c>
      <c r="H125" s="151">
        <f t="shared" si="53"/>
        <v>82.027747363681158</v>
      </c>
      <c r="I125" s="44">
        <f t="shared" si="53"/>
        <v>122.17986797249522</v>
      </c>
      <c r="J125" s="44">
        <f t="shared" si="53"/>
        <v>155.75734452670858</v>
      </c>
      <c r="K125" s="44">
        <f t="shared" si="53"/>
        <v>191.18231171522001</v>
      </c>
      <c r="L125" s="44">
        <f t="shared" si="53"/>
        <v>223.10329058152416</v>
      </c>
      <c r="M125" s="44">
        <f t="shared" si="53"/>
        <v>251.30782279010484</v>
      </c>
      <c r="N125" s="44">
        <f t="shared" si="53"/>
        <v>278.20493237843652</v>
      </c>
      <c r="O125" s="44">
        <f t="shared" si="53"/>
        <v>310.91348847445767</v>
      </c>
    </row>
    <row r="126" spans="2:15" x14ac:dyDescent="0.6">
      <c r="B126" s="58" t="s">
        <v>90</v>
      </c>
      <c r="C126" s="151">
        <v>150.411</v>
      </c>
      <c r="D126" s="151">
        <v>193.96700000000001</v>
      </c>
      <c r="E126" s="151">
        <v>187.79</v>
      </c>
      <c r="F126" s="151">
        <v>503.67899999999997</v>
      </c>
      <c r="G126" s="151">
        <f t="shared" ref="G126:O126" si="54">-G12</f>
        <v>1405</v>
      </c>
      <c r="H126" s="151">
        <f t="shared" si="54"/>
        <v>2285</v>
      </c>
      <c r="I126" s="43">
        <f t="shared" si="54"/>
        <v>3397.7659999999996</v>
      </c>
      <c r="J126" s="43">
        <f t="shared" si="54"/>
        <v>4216.4800000000005</v>
      </c>
      <c r="K126" s="43">
        <f t="shared" si="54"/>
        <v>5153.5</v>
      </c>
      <c r="L126" s="43">
        <f t="shared" si="54"/>
        <v>5584.42</v>
      </c>
      <c r="M126" s="43">
        <f t="shared" si="54"/>
        <v>5883.5</v>
      </c>
      <c r="N126" s="43">
        <f t="shared" si="54"/>
        <v>6314.42</v>
      </c>
      <c r="O126" s="43">
        <f t="shared" si="54"/>
        <v>6613.5000000000009</v>
      </c>
    </row>
    <row r="127" spans="2:15" x14ac:dyDescent="0.6">
      <c r="B127" s="58" t="s">
        <v>137</v>
      </c>
      <c r="C127" s="151">
        <v>-19.126999999999999</v>
      </c>
      <c r="D127" s="151">
        <v>-40.340000000000003</v>
      </c>
      <c r="E127" s="151">
        <v>-44.024999999999999</v>
      </c>
      <c r="F127" s="151">
        <v>-224.654</v>
      </c>
      <c r="G127" s="151">
        <f t="shared" ref="G127:O127" si="55">-G57</f>
        <v>-417</v>
      </c>
      <c r="H127" s="151">
        <f t="shared" si="55"/>
        <v>-676</v>
      </c>
      <c r="I127" s="43">
        <f t="shared" si="55"/>
        <v>-800</v>
      </c>
      <c r="J127" s="43">
        <f t="shared" si="55"/>
        <v>0</v>
      </c>
      <c r="K127" s="43">
        <f t="shared" si="55"/>
        <v>0</v>
      </c>
      <c r="L127" s="43">
        <f t="shared" si="55"/>
        <v>0</v>
      </c>
      <c r="M127" s="43">
        <f t="shared" si="55"/>
        <v>0</v>
      </c>
      <c r="N127" s="43">
        <f t="shared" si="55"/>
        <v>0</v>
      </c>
      <c r="O127" s="43">
        <f t="shared" si="55"/>
        <v>0</v>
      </c>
    </row>
    <row r="128" spans="2:15" x14ac:dyDescent="0.6">
      <c r="B128" s="58" t="s">
        <v>717</v>
      </c>
      <c r="C128" s="151">
        <v>0</v>
      </c>
      <c r="D128" s="151">
        <v>0</v>
      </c>
      <c r="E128" s="151">
        <v>0</v>
      </c>
      <c r="F128" s="151">
        <v>11.18</v>
      </c>
      <c r="G128" s="151">
        <v>0</v>
      </c>
      <c r="H128" s="151">
        <f>G128</f>
        <v>0</v>
      </c>
      <c r="I128" s="43">
        <f t="shared" ref="I128:O130" si="56">H128</f>
        <v>0</v>
      </c>
      <c r="J128" s="43">
        <f t="shared" si="56"/>
        <v>0</v>
      </c>
      <c r="K128" s="43">
        <f t="shared" si="56"/>
        <v>0</v>
      </c>
      <c r="L128" s="43">
        <f t="shared" si="56"/>
        <v>0</v>
      </c>
      <c r="M128" s="43">
        <f t="shared" si="56"/>
        <v>0</v>
      </c>
      <c r="N128" s="43">
        <f t="shared" si="56"/>
        <v>0</v>
      </c>
      <c r="O128" s="43">
        <f t="shared" si="56"/>
        <v>0</v>
      </c>
    </row>
    <row r="129" spans="2:15" x14ac:dyDescent="0.6">
      <c r="B129" s="58" t="s">
        <v>124</v>
      </c>
      <c r="C129" s="151">
        <v>10.037000000000001</v>
      </c>
      <c r="D129" s="151">
        <v>7.3860000000000001</v>
      </c>
      <c r="E129" s="151">
        <v>0.22700000000000001</v>
      </c>
      <c r="F129" s="151">
        <v>2.8180000000000001</v>
      </c>
      <c r="G129" s="151">
        <v>0</v>
      </c>
      <c r="H129" s="151">
        <v>0</v>
      </c>
      <c r="I129" s="32">
        <v>0</v>
      </c>
      <c r="J129" s="32">
        <v>0</v>
      </c>
      <c r="K129" s="32">
        <v>0</v>
      </c>
      <c r="L129" s="32">
        <v>0</v>
      </c>
      <c r="M129" s="32">
        <v>0</v>
      </c>
      <c r="N129" s="32">
        <v>0</v>
      </c>
      <c r="O129" s="32">
        <v>0</v>
      </c>
    </row>
    <row r="130" spans="2:15" x14ac:dyDescent="0.6">
      <c r="B130" s="58" t="s">
        <v>718</v>
      </c>
      <c r="C130" s="151">
        <v>0</v>
      </c>
      <c r="D130" s="151">
        <v>0</v>
      </c>
      <c r="E130" s="151">
        <v>0</v>
      </c>
      <c r="F130" s="151">
        <v>-39.28</v>
      </c>
      <c r="G130" s="151">
        <v>0</v>
      </c>
      <c r="H130" s="151">
        <f>G130</f>
        <v>0</v>
      </c>
      <c r="I130" s="43">
        <f t="shared" si="56"/>
        <v>0</v>
      </c>
      <c r="J130" s="43">
        <f t="shared" si="56"/>
        <v>0</v>
      </c>
      <c r="K130" s="43">
        <f t="shared" si="56"/>
        <v>0</v>
      </c>
      <c r="L130" s="43">
        <f t="shared" si="56"/>
        <v>0</v>
      </c>
      <c r="M130" s="43">
        <f t="shared" si="56"/>
        <v>0</v>
      </c>
      <c r="N130" s="43">
        <f t="shared" si="56"/>
        <v>0</v>
      </c>
      <c r="O130" s="43">
        <f t="shared" si="56"/>
        <v>0</v>
      </c>
    </row>
    <row r="131" spans="2:15" x14ac:dyDescent="0.6">
      <c r="B131" s="58" t="s">
        <v>138</v>
      </c>
      <c r="C131" s="151">
        <v>1E-3</v>
      </c>
      <c r="D131" s="151">
        <v>1.7989999999999999</v>
      </c>
      <c r="E131" s="151">
        <v>48.433</v>
      </c>
      <c r="F131" s="151">
        <v>19.338000000000001</v>
      </c>
      <c r="G131" s="151">
        <v>0</v>
      </c>
      <c r="H131" s="151">
        <v>0</v>
      </c>
      <c r="I131" s="32">
        <v>0</v>
      </c>
      <c r="J131" s="32">
        <v>0</v>
      </c>
      <c r="K131" s="32">
        <v>0</v>
      </c>
      <c r="L131" s="32">
        <v>0</v>
      </c>
      <c r="M131" s="32">
        <v>0</v>
      </c>
      <c r="N131" s="32">
        <v>0</v>
      </c>
      <c r="O131" s="32">
        <v>0</v>
      </c>
    </row>
    <row r="132" spans="2:15" x14ac:dyDescent="0.6">
      <c r="B132" s="58" t="s">
        <v>139</v>
      </c>
      <c r="C132" s="151">
        <v>19.716999999999999</v>
      </c>
      <c r="D132" s="151">
        <v>17.681000000000001</v>
      </c>
      <c r="E132" s="151">
        <v>39.521000000000001</v>
      </c>
      <c r="F132" s="151">
        <v>11.077</v>
      </c>
      <c r="G132" s="151">
        <v>0</v>
      </c>
      <c r="H132" s="151">
        <v>0</v>
      </c>
      <c r="I132" s="32">
        <v>0</v>
      </c>
      <c r="J132" s="32">
        <v>0</v>
      </c>
      <c r="K132" s="32">
        <v>0</v>
      </c>
      <c r="L132" s="32">
        <v>0</v>
      </c>
      <c r="M132" s="32">
        <v>0</v>
      </c>
      <c r="N132" s="32">
        <v>0</v>
      </c>
      <c r="O132" s="32">
        <v>0</v>
      </c>
    </row>
    <row r="133" spans="2:15" x14ac:dyDescent="0.6">
      <c r="B133" s="58" t="s">
        <v>140</v>
      </c>
      <c r="C133" s="151">
        <v>9.3279999999999994</v>
      </c>
      <c r="D133" s="151">
        <v>18.510999999999999</v>
      </c>
      <c r="E133" s="151">
        <v>38.215000000000003</v>
      </c>
      <c r="F133" s="151">
        <v>157.32400000000001</v>
      </c>
      <c r="G133" s="151">
        <v>0</v>
      </c>
      <c r="H133" s="151">
        <v>0</v>
      </c>
      <c r="I133" s="32">
        <v>0</v>
      </c>
      <c r="J133" s="32">
        <v>0</v>
      </c>
      <c r="K133" s="32">
        <v>0</v>
      </c>
      <c r="L133" s="32">
        <v>0</v>
      </c>
      <c r="M133" s="32">
        <v>0</v>
      </c>
      <c r="N133" s="32">
        <v>0</v>
      </c>
      <c r="O133" s="32">
        <v>0</v>
      </c>
    </row>
    <row r="134" spans="2:15" s="23" customFormat="1" ht="14.4" x14ac:dyDescent="0.55000000000000004">
      <c r="B134" s="57" t="s">
        <v>27</v>
      </c>
      <c r="C134" s="56">
        <f>C135+C136+C137+C138+C139+C140+C141+C142+C143+C144+C145+C146</f>
        <v>-148.3009999999999</v>
      </c>
      <c r="D134" s="56">
        <f>D135+D136+D137+D138+D139+D140+D141+D142+D143+D144+D145+D146</f>
        <v>164.59100000000001</v>
      </c>
      <c r="E134" s="56">
        <f>E135+E136+E137+E138+E139+E140+E141+E142+E143+E144+E145+E146</f>
        <v>871.06799999999953</v>
      </c>
      <c r="F134" s="56">
        <f>F135+F136+F137+F138+F139+F140+F141+F142+F143+F144+F145+F146+F147</f>
        <v>-3217.8050000000003</v>
      </c>
      <c r="G134" s="56">
        <f t="shared" ref="G134:O134" si="57">G135+G136+G137+G138+G139+G140+G141+G142+G143+G144+G145+G146+G147</f>
        <v>-132</v>
      </c>
      <c r="H134" s="56">
        <f t="shared" si="57"/>
        <v>-900</v>
      </c>
      <c r="I134" s="56">
        <f t="shared" ca="1" si="57"/>
        <v>-92.426570371486378</v>
      </c>
      <c r="J134" s="56">
        <f t="shared" ca="1" si="57"/>
        <v>5438.0203301496467</v>
      </c>
      <c r="K134" s="56">
        <f t="shared" ca="1" si="57"/>
        <v>3631.020506034547</v>
      </c>
      <c r="L134" s="56">
        <f t="shared" ca="1" si="57"/>
        <v>4170.6840793324154</v>
      </c>
      <c r="M134" s="56">
        <f t="shared" ca="1" si="57"/>
        <v>4464.9919085087968</v>
      </c>
      <c r="N134" s="56">
        <f t="shared" ca="1" si="57"/>
        <v>4881.8527837334968</v>
      </c>
      <c r="O134" s="56">
        <f t="shared" ca="1" si="57"/>
        <v>5184.8683620030479</v>
      </c>
    </row>
    <row r="135" spans="2:15" x14ac:dyDescent="0.6">
      <c r="B135" s="58" t="s">
        <v>101</v>
      </c>
      <c r="C135" s="151">
        <v>-608.49900000000002</v>
      </c>
      <c r="D135" s="151">
        <v>-1689.547</v>
      </c>
      <c r="E135" s="151">
        <v>-2008.8610000000001</v>
      </c>
      <c r="F135" s="151">
        <v>-4666.7920000000004</v>
      </c>
      <c r="G135" s="151">
        <v>-1102</v>
      </c>
      <c r="H135" s="151">
        <v>699</v>
      </c>
      <c r="I135" s="31">
        <f t="shared" ref="I135:O135" si="58">-(I186-H186)</f>
        <v>0</v>
      </c>
      <c r="J135" s="31">
        <f t="shared" si="58"/>
        <v>0</v>
      </c>
      <c r="K135" s="31">
        <f t="shared" si="58"/>
        <v>0</v>
      </c>
      <c r="L135" s="31">
        <f t="shared" si="58"/>
        <v>0</v>
      </c>
      <c r="M135" s="31">
        <f t="shared" si="58"/>
        <v>0</v>
      </c>
      <c r="N135" s="31">
        <f t="shared" si="58"/>
        <v>0</v>
      </c>
      <c r="O135" s="31">
        <f t="shared" si="58"/>
        <v>0</v>
      </c>
    </row>
    <row r="136" spans="2:15" x14ac:dyDescent="0.6">
      <c r="B136" s="58" t="s">
        <v>105</v>
      </c>
      <c r="C136" s="151">
        <v>0</v>
      </c>
      <c r="D136" s="151">
        <v>0</v>
      </c>
      <c r="E136" s="151">
        <v>-43.841000000000001</v>
      </c>
      <c r="F136" s="151">
        <v>-924.88900000000001</v>
      </c>
      <c r="G136" s="151">
        <v>-1880</v>
      </c>
      <c r="H136" s="151">
        <v>-4540</v>
      </c>
      <c r="I136" s="31">
        <f t="shared" ref="I136:O136" si="59">-(I192-H192)</f>
        <v>-2010.1046553846172</v>
      </c>
      <c r="J136" s="31">
        <f t="shared" si="59"/>
        <v>-2850.1826026153813</v>
      </c>
      <c r="K136" s="31">
        <f t="shared" si="59"/>
        <v>-2475.3118087384646</v>
      </c>
      <c r="L136" s="31">
        <f t="shared" si="59"/>
        <v>-2735.5428169892311</v>
      </c>
      <c r="M136" s="31">
        <f t="shared" si="59"/>
        <v>-2827.4895671981576</v>
      </c>
      <c r="N136" s="31">
        <f t="shared" si="59"/>
        <v>-2795.2193058333978</v>
      </c>
      <c r="O136" s="31">
        <f t="shared" si="59"/>
        <v>-2946.2748626027314</v>
      </c>
    </row>
    <row r="137" spans="2:15" x14ac:dyDescent="0.6">
      <c r="B137" s="58" t="s">
        <v>106</v>
      </c>
      <c r="C137" s="151">
        <v>-947.476</v>
      </c>
      <c r="D137" s="151">
        <v>-1414.489</v>
      </c>
      <c r="E137" s="151">
        <v>-242.255</v>
      </c>
      <c r="F137" s="151">
        <v>-2568.4229999999998</v>
      </c>
      <c r="G137" s="151">
        <v>-5213</v>
      </c>
      <c r="H137" s="151">
        <v>-7878</v>
      </c>
      <c r="I137" s="31">
        <f t="shared" ref="I137:O137" si="60">-(I193-H193)</f>
        <v>-1401.9302174666154</v>
      </c>
      <c r="J137" s="31">
        <f t="shared" si="60"/>
        <v>-3674.883493236659</v>
      </c>
      <c r="K137" s="31">
        <f t="shared" si="60"/>
        <v>-4314.4946180531006</v>
      </c>
      <c r="L137" s="31">
        <f t="shared" si="60"/>
        <v>-4116.6771866384952</v>
      </c>
      <c r="M137" s="31">
        <f t="shared" si="60"/>
        <v>-3996.2064026730659</v>
      </c>
      <c r="N137" s="31">
        <f t="shared" si="60"/>
        <v>-3949.2487498290393</v>
      </c>
      <c r="O137" s="31">
        <f t="shared" si="60"/>
        <v>-4128.0729168014732</v>
      </c>
    </row>
    <row r="138" spans="2:15" x14ac:dyDescent="0.6">
      <c r="B138" s="58" t="s">
        <v>107</v>
      </c>
      <c r="C138" s="151">
        <v>0</v>
      </c>
      <c r="D138" s="151">
        <v>-63.009</v>
      </c>
      <c r="E138" s="151">
        <v>-143.62299999999999</v>
      </c>
      <c r="F138" s="151">
        <v>-1522.2170000000001</v>
      </c>
      <c r="G138" s="151">
        <v>-1889</v>
      </c>
      <c r="H138" s="151">
        <v>-3578</v>
      </c>
      <c r="I138" s="31">
        <f t="shared" ref="I138:O138" si="61">-(I194-H194)</f>
        <v>-1913.5955553122285</v>
      </c>
      <c r="J138" s="31">
        <f t="shared" si="61"/>
        <v>-2004.557385949307</v>
      </c>
      <c r="K138" s="31">
        <f t="shared" si="61"/>
        <v>-2155.4587955100587</v>
      </c>
      <c r="L138" s="31">
        <f t="shared" si="61"/>
        <v>-2519.2464789427195</v>
      </c>
      <c r="M138" s="31">
        <f t="shared" si="61"/>
        <v>-2594.7292112302639</v>
      </c>
      <c r="N138" s="31">
        <f t="shared" si="61"/>
        <v>-2137.3230116916311</v>
      </c>
      <c r="O138" s="31">
        <f t="shared" si="61"/>
        <v>-2065.0805357176323</v>
      </c>
    </row>
    <row r="139" spans="2:15" x14ac:dyDescent="0.6">
      <c r="B139" s="58" t="s">
        <v>108</v>
      </c>
      <c r="C139" s="151">
        <v>0</v>
      </c>
      <c r="D139" s="151">
        <v>-9.0999999999999998E-2</v>
      </c>
      <c r="E139" s="151">
        <v>9.2999999999999999E-2</v>
      </c>
      <c r="F139" s="151">
        <v>0</v>
      </c>
      <c r="G139" s="151">
        <v>0</v>
      </c>
      <c r="H139" s="151">
        <v>0</v>
      </c>
      <c r="I139" s="32">
        <v>0</v>
      </c>
      <c r="J139" s="32">
        <v>0</v>
      </c>
      <c r="K139" s="32">
        <v>0</v>
      </c>
      <c r="L139" s="32">
        <v>0</v>
      </c>
      <c r="M139" s="32">
        <v>0</v>
      </c>
      <c r="N139" s="32">
        <v>0</v>
      </c>
      <c r="O139" s="32">
        <v>0</v>
      </c>
    </row>
    <row r="140" spans="2:15" x14ac:dyDescent="0.6">
      <c r="B140" s="58" t="s">
        <v>44</v>
      </c>
      <c r="C140" s="151">
        <v>-4.8070000000000004</v>
      </c>
      <c r="D140" s="151">
        <v>-166.173</v>
      </c>
      <c r="E140" s="151">
        <v>78.319000000000003</v>
      </c>
      <c r="F140" s="151">
        <v>-64.072000000000003</v>
      </c>
      <c r="G140" s="151">
        <v>-772</v>
      </c>
      <c r="H140" s="151">
        <v>-61</v>
      </c>
      <c r="I140" s="31">
        <f t="shared" ref="I140:O140" si="62">-(I198-H198)</f>
        <v>0</v>
      </c>
      <c r="J140" s="31">
        <f t="shared" si="62"/>
        <v>0</v>
      </c>
      <c r="K140" s="31">
        <f t="shared" si="62"/>
        <v>0</v>
      </c>
      <c r="L140" s="31">
        <f t="shared" si="62"/>
        <v>0</v>
      </c>
      <c r="M140" s="31">
        <f t="shared" si="62"/>
        <v>0</v>
      </c>
      <c r="N140" s="31">
        <f t="shared" si="62"/>
        <v>0</v>
      </c>
      <c r="O140" s="31">
        <f t="shared" si="62"/>
        <v>0</v>
      </c>
    </row>
    <row r="141" spans="2:15" x14ac:dyDescent="0.6">
      <c r="B141" s="58" t="s">
        <v>47</v>
      </c>
      <c r="C141" s="151">
        <v>646.16399999999999</v>
      </c>
      <c r="D141" s="151">
        <v>2088.7930000000001</v>
      </c>
      <c r="E141" s="151">
        <v>2871.2460000000001</v>
      </c>
      <c r="F141" s="151">
        <v>4001.8560000000002</v>
      </c>
      <c r="G141" s="151">
        <v>6278</v>
      </c>
      <c r="H141" s="151">
        <v>7665</v>
      </c>
      <c r="I141" s="31">
        <f t="shared" ref="I141:O142" si="63">(I212-H212)</f>
        <v>6394.70785426574</v>
      </c>
      <c r="J141" s="31">
        <f t="shared" si="63"/>
        <v>9067.2319106433497</v>
      </c>
      <c r="K141" s="31">
        <f t="shared" si="63"/>
        <v>7874.6625568447562</v>
      </c>
      <c r="L141" s="31">
        <f t="shared" si="63"/>
        <v>8702.5305327369279</v>
      </c>
      <c r="M141" s="31">
        <f t="shared" si="63"/>
        <v>8995.0389870406289</v>
      </c>
      <c r="N141" s="31">
        <f t="shared" si="63"/>
        <v>8892.3782159928887</v>
      </c>
      <c r="O141" s="31">
        <f t="shared" si="63"/>
        <v>9372.9283966592338</v>
      </c>
    </row>
    <row r="142" spans="2:15" x14ac:dyDescent="0.6">
      <c r="B142" s="58" t="s">
        <v>117</v>
      </c>
      <c r="C142" s="151">
        <v>740.90200000000004</v>
      </c>
      <c r="D142" s="151">
        <v>1365.4760000000001</v>
      </c>
      <c r="E142" s="151">
        <v>312.60700000000003</v>
      </c>
      <c r="F142" s="151">
        <v>1602.4849999999999</v>
      </c>
      <c r="G142" s="151">
        <v>2221</v>
      </c>
      <c r="H142" s="151">
        <v>2819</v>
      </c>
      <c r="I142" s="31">
        <f t="shared" ca="1" si="63"/>
        <v>-4550.5039964737653</v>
      </c>
      <c r="J142" s="31">
        <f t="shared" ca="1" si="63"/>
        <v>1511.4119013076443</v>
      </c>
      <c r="K142" s="31">
        <f t="shared" ca="1" si="63"/>
        <v>1312.6231714914138</v>
      </c>
      <c r="L142" s="31">
        <f t="shared" ca="1" si="63"/>
        <v>1450.6200291659334</v>
      </c>
      <c r="M142" s="31">
        <f t="shared" ca="1" si="63"/>
        <v>1499.3781025696553</v>
      </c>
      <c r="N142" s="31">
        <f t="shared" ca="1" si="63"/>
        <v>1482.2656350946763</v>
      </c>
      <c r="O142" s="31">
        <f t="shared" ca="1" si="63"/>
        <v>1562.368280465651</v>
      </c>
    </row>
    <row r="143" spans="2:15" x14ac:dyDescent="0.6">
      <c r="B143" s="58" t="s">
        <v>125</v>
      </c>
      <c r="C143" s="151">
        <v>6.718</v>
      </c>
      <c r="D143" s="151">
        <v>10.324999999999999</v>
      </c>
      <c r="E143" s="151">
        <v>3.621</v>
      </c>
      <c r="F143" s="151">
        <v>4.8479999999999999</v>
      </c>
      <c r="G143" s="151">
        <v>0</v>
      </c>
      <c r="H143" s="151">
        <v>0</v>
      </c>
      <c r="I143" s="32">
        <v>0</v>
      </c>
      <c r="J143" s="32">
        <v>0</v>
      </c>
      <c r="K143" s="32">
        <v>0</v>
      </c>
      <c r="L143" s="32">
        <v>0</v>
      </c>
      <c r="M143" s="32">
        <v>0</v>
      </c>
      <c r="N143" s="32">
        <v>0</v>
      </c>
      <c r="O143" s="32">
        <v>0</v>
      </c>
    </row>
    <row r="144" spans="2:15" x14ac:dyDescent="0.6">
      <c r="B144" s="58" t="s">
        <v>48</v>
      </c>
      <c r="C144" s="151">
        <v>46.728000000000002</v>
      </c>
      <c r="D144" s="151">
        <v>52.366</v>
      </c>
      <c r="E144" s="151">
        <v>57.841000000000001</v>
      </c>
      <c r="F144" s="151">
        <v>417.22500000000002</v>
      </c>
      <c r="G144" s="151">
        <v>979</v>
      </c>
      <c r="H144" s="151">
        <v>1280</v>
      </c>
      <c r="I144" s="31">
        <f t="shared" ref="I144:O144" si="64">(I223-H223)</f>
        <v>0</v>
      </c>
      <c r="J144" s="31">
        <f t="shared" si="64"/>
        <v>0</v>
      </c>
      <c r="K144" s="31">
        <f t="shared" si="64"/>
        <v>0</v>
      </c>
      <c r="L144" s="31">
        <f t="shared" si="64"/>
        <v>0</v>
      </c>
      <c r="M144" s="31">
        <f t="shared" si="64"/>
        <v>0</v>
      </c>
      <c r="N144" s="31">
        <f t="shared" si="64"/>
        <v>0</v>
      </c>
      <c r="O144" s="31">
        <f t="shared" si="64"/>
        <v>0</v>
      </c>
    </row>
    <row r="145" spans="2:16" x14ac:dyDescent="0.6">
      <c r="B145" s="58" t="s">
        <v>142</v>
      </c>
      <c r="C145" s="151">
        <v>-16.388999999999999</v>
      </c>
      <c r="D145" s="151">
        <v>-15.603</v>
      </c>
      <c r="E145" s="151">
        <v>-6.1989999999999998</v>
      </c>
      <c r="F145" s="151">
        <v>-9.0619999999999994</v>
      </c>
      <c r="G145" s="151">
        <v>-30</v>
      </c>
      <c r="H145" s="151">
        <v>-83</v>
      </c>
      <c r="I145" s="32">
        <v>0</v>
      </c>
      <c r="J145" s="32">
        <v>0</v>
      </c>
      <c r="K145" s="32">
        <v>0</v>
      </c>
      <c r="L145" s="32">
        <v>0</v>
      </c>
      <c r="M145" s="32">
        <v>0</v>
      </c>
      <c r="N145" s="32">
        <v>0</v>
      </c>
      <c r="O145" s="32">
        <v>0</v>
      </c>
    </row>
    <row r="146" spans="2:16" x14ac:dyDescent="0.6">
      <c r="B146" s="58" t="s">
        <v>143</v>
      </c>
      <c r="C146" s="151">
        <v>-11.641999999999999</v>
      </c>
      <c r="D146" s="151">
        <v>-3.4569999999999999</v>
      </c>
      <c r="E146" s="151">
        <v>-7.88</v>
      </c>
      <c r="F146" s="151">
        <v>-52.314</v>
      </c>
      <c r="G146" s="151">
        <v>-297</v>
      </c>
      <c r="H146" s="151">
        <v>-612</v>
      </c>
      <c r="I146" s="32">
        <v>0</v>
      </c>
      <c r="J146" s="32">
        <v>0</v>
      </c>
      <c r="K146" s="32">
        <v>0</v>
      </c>
      <c r="L146" s="32">
        <v>0</v>
      </c>
      <c r="M146" s="32">
        <v>0</v>
      </c>
      <c r="N146" s="32">
        <v>0</v>
      </c>
      <c r="O146" s="32">
        <v>0</v>
      </c>
    </row>
    <row r="147" spans="2:16" x14ac:dyDescent="0.6">
      <c r="B147" s="58" t="s">
        <v>719</v>
      </c>
      <c r="C147" s="151">
        <v>0</v>
      </c>
      <c r="D147" s="151">
        <v>0</v>
      </c>
      <c r="E147" s="151">
        <v>0</v>
      </c>
      <c r="F147" s="151">
        <v>563.54999999999995</v>
      </c>
      <c r="G147" s="151">
        <v>1573</v>
      </c>
      <c r="H147" s="151">
        <v>3389</v>
      </c>
      <c r="I147" s="43">
        <f t="shared" ref="I147:O147" si="65">H147</f>
        <v>3389</v>
      </c>
      <c r="J147" s="43">
        <f t="shared" si="65"/>
        <v>3389</v>
      </c>
      <c r="K147" s="43">
        <f t="shared" si="65"/>
        <v>3389</v>
      </c>
      <c r="L147" s="43">
        <f t="shared" si="65"/>
        <v>3389</v>
      </c>
      <c r="M147" s="43">
        <f t="shared" si="65"/>
        <v>3389</v>
      </c>
      <c r="N147" s="43">
        <f t="shared" si="65"/>
        <v>3389</v>
      </c>
      <c r="O147" s="43">
        <f t="shared" si="65"/>
        <v>3389</v>
      </c>
    </row>
    <row r="148" spans="2:16" s="54" customFormat="1" ht="14.7" thickBot="1" x14ac:dyDescent="0.6">
      <c r="B148" s="52" t="s">
        <v>28</v>
      </c>
      <c r="C148" s="53">
        <f>C149+C150+C151</f>
        <v>-6.38</v>
      </c>
      <c r="D148" s="53">
        <f>D149+D150+D151</f>
        <v>-4.6790000000000003</v>
      </c>
      <c r="E148" s="53">
        <f>E149+E150+E151</f>
        <v>-16.270000000000003</v>
      </c>
      <c r="F148" s="53">
        <f>F149+F150+F151+F152</f>
        <v>-154.19500000000002</v>
      </c>
      <c r="G148" s="53">
        <f t="shared" ref="G148:O148" si="66">G149+G150+G151+G152</f>
        <v>-126.5</v>
      </c>
      <c r="H148" s="53">
        <f t="shared" si="66"/>
        <v>-177</v>
      </c>
      <c r="I148" s="53">
        <f t="shared" si="66"/>
        <v>-239.15321622436264</v>
      </c>
      <c r="J148" s="53">
        <f t="shared" si="66"/>
        <v>-304.87731335995602</v>
      </c>
      <c r="K148" s="53">
        <f t="shared" si="66"/>
        <v>-374.21766360229071</v>
      </c>
      <c r="L148" s="53">
        <f t="shared" si="66"/>
        <v>-436.69935463362401</v>
      </c>
      <c r="M148" s="53">
        <f t="shared" si="66"/>
        <v>-491.90652338997069</v>
      </c>
      <c r="N148" s="53">
        <f t="shared" si="66"/>
        <v>-544.55456084436321</v>
      </c>
      <c r="O148" s="53">
        <f t="shared" si="66"/>
        <v>-608.57784486182004</v>
      </c>
    </row>
    <row r="149" spans="2:16" x14ac:dyDescent="0.6">
      <c r="B149" s="62" t="s">
        <v>144</v>
      </c>
      <c r="C149" s="151">
        <v>-5.875</v>
      </c>
      <c r="D149" s="151">
        <v>-2.3769999999999998</v>
      </c>
      <c r="E149" s="151">
        <v>-3.0840000000000001</v>
      </c>
      <c r="F149" s="151">
        <v>-6.0250000000000004</v>
      </c>
      <c r="G149" s="151">
        <v>-20</v>
      </c>
      <c r="H149" s="151">
        <v>-20</v>
      </c>
      <c r="I149" s="30">
        <f t="shared" ref="I149:O149" si="67">H149</f>
        <v>-20</v>
      </c>
      <c r="J149" s="30">
        <f t="shared" si="67"/>
        <v>-20</v>
      </c>
      <c r="K149" s="30">
        <f t="shared" si="67"/>
        <v>-20</v>
      </c>
      <c r="L149" s="30">
        <f t="shared" si="67"/>
        <v>-20</v>
      </c>
      <c r="M149" s="30">
        <f t="shared" si="67"/>
        <v>-20</v>
      </c>
      <c r="N149" s="30">
        <f t="shared" si="67"/>
        <v>-20</v>
      </c>
      <c r="O149" s="30">
        <f t="shared" si="67"/>
        <v>-20</v>
      </c>
    </row>
    <row r="150" spans="2:16" x14ac:dyDescent="0.6">
      <c r="B150" s="62" t="s">
        <v>29</v>
      </c>
      <c r="C150" s="151">
        <v>-0.505</v>
      </c>
      <c r="D150" s="151">
        <v>-2.302</v>
      </c>
      <c r="E150" s="151">
        <v>-4.9020000000000001</v>
      </c>
      <c r="F150" s="151">
        <v>-22.472999999999999</v>
      </c>
      <c r="G150" s="151">
        <v>-94</v>
      </c>
      <c r="H150" s="151">
        <v>-157</v>
      </c>
      <c r="I150" s="31">
        <f t="shared" ref="I150:O150" si="68">-I173-I149</f>
        <v>-219.15321622436264</v>
      </c>
      <c r="J150" s="31">
        <f t="shared" si="68"/>
        <v>-284.87731335995602</v>
      </c>
      <c r="K150" s="31">
        <f t="shared" si="68"/>
        <v>-354.21766360229071</v>
      </c>
      <c r="L150" s="31">
        <f t="shared" si="68"/>
        <v>-416.69935463362401</v>
      </c>
      <c r="M150" s="31">
        <f t="shared" si="68"/>
        <v>-471.90652338997069</v>
      </c>
      <c r="N150" s="31">
        <f t="shared" si="68"/>
        <v>-524.55456084436321</v>
      </c>
      <c r="O150" s="31">
        <f t="shared" si="68"/>
        <v>-588.57784486182004</v>
      </c>
    </row>
    <row r="151" spans="2:16" x14ac:dyDescent="0.6">
      <c r="B151" s="62" t="s">
        <v>145</v>
      </c>
      <c r="C151" s="151">
        <v>0</v>
      </c>
      <c r="D151" s="151">
        <v>0</v>
      </c>
      <c r="E151" s="151">
        <v>-8.2840000000000007</v>
      </c>
      <c r="F151" s="151">
        <v>-114.486</v>
      </c>
      <c r="G151" s="151">
        <v>-10</v>
      </c>
      <c r="H151" s="151">
        <v>0</v>
      </c>
      <c r="I151" s="32">
        <v>0</v>
      </c>
      <c r="J151" s="32">
        <v>0</v>
      </c>
      <c r="K151" s="32">
        <v>0</v>
      </c>
      <c r="L151" s="32">
        <v>0</v>
      </c>
      <c r="M151" s="32">
        <v>0</v>
      </c>
      <c r="N151" s="32">
        <v>0</v>
      </c>
      <c r="O151" s="32">
        <v>0</v>
      </c>
    </row>
    <row r="152" spans="2:16" x14ac:dyDescent="0.6">
      <c r="B152" s="62" t="s">
        <v>720</v>
      </c>
      <c r="C152" s="151">
        <v>0</v>
      </c>
      <c r="D152" s="151">
        <v>0</v>
      </c>
      <c r="E152" s="151">
        <v>0</v>
      </c>
      <c r="F152" s="151">
        <v>-11.211</v>
      </c>
      <c r="G152" s="151">
        <v>-2.5</v>
      </c>
      <c r="H152" s="151">
        <v>0</v>
      </c>
      <c r="I152" s="43">
        <f t="shared" ref="I152:O152" si="69">H152</f>
        <v>0</v>
      </c>
      <c r="J152" s="43">
        <f t="shared" si="69"/>
        <v>0</v>
      </c>
      <c r="K152" s="43">
        <f t="shared" si="69"/>
        <v>0</v>
      </c>
      <c r="L152" s="43">
        <f t="shared" si="69"/>
        <v>0</v>
      </c>
      <c r="M152" s="43">
        <f t="shared" si="69"/>
        <v>0</v>
      </c>
      <c r="N152" s="43">
        <f t="shared" si="69"/>
        <v>0</v>
      </c>
      <c r="O152" s="43">
        <f t="shared" si="69"/>
        <v>0</v>
      </c>
    </row>
    <row r="153" spans="2:16" s="54" customFormat="1" ht="14.7" thickBot="1" x14ac:dyDescent="0.6">
      <c r="B153" s="52" t="s">
        <v>30</v>
      </c>
      <c r="C153" s="53">
        <f>C154+C155+C159+C160+C161+C162+C163+C164+C165+C166+C167</f>
        <v>253.41200000000003</v>
      </c>
      <c r="D153" s="53">
        <f>D154+D155+D159+D160+D161+D162+D163+D164+D165+D166+D167</f>
        <v>611.19299999999998</v>
      </c>
      <c r="E153" s="53">
        <f>E154+E155+E159+E160+E161+E162+E163+E164+E165+E166+E167</f>
        <v>237.45600000000005</v>
      </c>
      <c r="F153" s="53">
        <f>F154+F155+F159+F160+F161+F162+F163+F164+F165+F166+F167+F156+F157+F158</f>
        <v>3335.982</v>
      </c>
      <c r="G153" s="53">
        <f t="shared" ref="G153:O153" si="70">G154+G155+G159+G160+G161+G162+G163+G164+G165+G166+G167+G156+G157+G158</f>
        <v>649</v>
      </c>
      <c r="H153" s="53">
        <f t="shared" si="70"/>
        <v>670</v>
      </c>
      <c r="I153" s="53">
        <f t="shared" si="70"/>
        <v>247</v>
      </c>
      <c r="J153" s="53">
        <f t="shared" si="70"/>
        <v>247</v>
      </c>
      <c r="K153" s="53">
        <f t="shared" si="70"/>
        <v>247</v>
      </c>
      <c r="L153" s="53">
        <f t="shared" si="70"/>
        <v>247</v>
      </c>
      <c r="M153" s="53">
        <f t="shared" si="70"/>
        <v>247</v>
      </c>
      <c r="N153" s="53">
        <f t="shared" si="70"/>
        <v>247</v>
      </c>
      <c r="O153" s="53">
        <f t="shared" si="70"/>
        <v>247</v>
      </c>
    </row>
    <row r="154" spans="2:16" x14ac:dyDescent="0.6">
      <c r="B154" s="62" t="s">
        <v>31</v>
      </c>
      <c r="C154" s="151">
        <v>243.59700000000001</v>
      </c>
      <c r="D154" s="151">
        <v>400.00099999999998</v>
      </c>
      <c r="E154" s="151">
        <v>0</v>
      </c>
      <c r="F154" s="151">
        <v>0</v>
      </c>
      <c r="G154" s="151">
        <v>0</v>
      </c>
      <c r="H154" s="151">
        <v>0</v>
      </c>
      <c r="I154" s="32">
        <v>0</v>
      </c>
      <c r="J154" s="32">
        <v>0</v>
      </c>
      <c r="K154" s="32">
        <v>0</v>
      </c>
      <c r="L154" s="32">
        <v>0</v>
      </c>
      <c r="M154" s="32">
        <v>0</v>
      </c>
      <c r="N154" s="32">
        <v>0</v>
      </c>
      <c r="O154" s="32">
        <v>0</v>
      </c>
      <c r="P154" s="124"/>
    </row>
    <row r="155" spans="2:16" x14ac:dyDescent="0.6">
      <c r="B155" s="62" t="s">
        <v>146</v>
      </c>
      <c r="C155" s="151">
        <v>0</v>
      </c>
      <c r="D155" s="151">
        <v>0</v>
      </c>
      <c r="E155" s="151">
        <v>300</v>
      </c>
      <c r="F155" s="151">
        <v>0</v>
      </c>
      <c r="G155" s="151">
        <v>0</v>
      </c>
      <c r="H155" s="151">
        <v>0</v>
      </c>
      <c r="I155" s="32">
        <v>0</v>
      </c>
      <c r="J155" s="32">
        <v>0</v>
      </c>
      <c r="K155" s="32">
        <v>0</v>
      </c>
      <c r="L155" s="32">
        <v>0</v>
      </c>
      <c r="M155" s="32">
        <v>0</v>
      </c>
      <c r="N155" s="32">
        <v>0</v>
      </c>
      <c r="O155" s="32">
        <v>0</v>
      </c>
    </row>
    <row r="156" spans="2:16" x14ac:dyDescent="0.6">
      <c r="B156" s="62" t="s">
        <v>721</v>
      </c>
      <c r="C156" s="151">
        <v>0</v>
      </c>
      <c r="D156" s="151">
        <v>0</v>
      </c>
      <c r="E156" s="151">
        <v>0</v>
      </c>
      <c r="F156" s="151">
        <v>800</v>
      </c>
      <c r="G156" s="151">
        <v>0</v>
      </c>
      <c r="H156" s="151">
        <v>0</v>
      </c>
      <c r="I156" s="43">
        <f t="shared" ref="I156:O158" si="71">H156</f>
        <v>0</v>
      </c>
      <c r="J156" s="43">
        <f t="shared" si="71"/>
        <v>0</v>
      </c>
      <c r="K156" s="43">
        <f t="shared" si="71"/>
        <v>0</v>
      </c>
      <c r="L156" s="43">
        <f t="shared" si="71"/>
        <v>0</v>
      </c>
      <c r="M156" s="43">
        <f t="shared" si="71"/>
        <v>0</v>
      </c>
      <c r="N156" s="43">
        <f t="shared" si="71"/>
        <v>0</v>
      </c>
      <c r="O156" s="43">
        <f t="shared" si="71"/>
        <v>0</v>
      </c>
    </row>
    <row r="157" spans="2:16" x14ac:dyDescent="0.6">
      <c r="B157" s="62" t="s">
        <v>722</v>
      </c>
      <c r="C157" s="151">
        <v>0</v>
      </c>
      <c r="D157" s="151">
        <v>0</v>
      </c>
      <c r="E157" s="151">
        <v>0</v>
      </c>
      <c r="F157" s="151">
        <v>2590.846</v>
      </c>
      <c r="G157" s="151">
        <v>247</v>
      </c>
      <c r="H157" s="151">
        <v>247</v>
      </c>
      <c r="I157" s="43">
        <f t="shared" si="71"/>
        <v>247</v>
      </c>
      <c r="J157" s="43">
        <f t="shared" si="71"/>
        <v>247</v>
      </c>
      <c r="K157" s="43">
        <f t="shared" si="71"/>
        <v>247</v>
      </c>
      <c r="L157" s="43">
        <f t="shared" si="71"/>
        <v>247</v>
      </c>
      <c r="M157" s="43">
        <f t="shared" si="71"/>
        <v>247</v>
      </c>
      <c r="N157" s="43">
        <f t="shared" si="71"/>
        <v>247</v>
      </c>
      <c r="O157" s="43">
        <f t="shared" si="71"/>
        <v>247</v>
      </c>
    </row>
    <row r="158" spans="2:16" x14ac:dyDescent="0.6">
      <c r="B158" s="62" t="s">
        <v>723</v>
      </c>
      <c r="C158" s="151">
        <v>0</v>
      </c>
      <c r="D158" s="151">
        <v>0</v>
      </c>
      <c r="E158" s="151">
        <v>0</v>
      </c>
      <c r="F158" s="151">
        <v>-47.545000000000002</v>
      </c>
      <c r="G158" s="151">
        <v>-10</v>
      </c>
      <c r="H158" s="151">
        <v>0</v>
      </c>
      <c r="I158" s="43">
        <f t="shared" si="71"/>
        <v>0</v>
      </c>
      <c r="J158" s="43">
        <f t="shared" si="71"/>
        <v>0</v>
      </c>
      <c r="K158" s="43">
        <f t="shared" si="71"/>
        <v>0</v>
      </c>
      <c r="L158" s="43">
        <f t="shared" si="71"/>
        <v>0</v>
      </c>
      <c r="M158" s="43">
        <f t="shared" si="71"/>
        <v>0</v>
      </c>
      <c r="N158" s="43">
        <f t="shared" si="71"/>
        <v>0</v>
      </c>
      <c r="O158" s="43">
        <f t="shared" si="71"/>
        <v>0</v>
      </c>
    </row>
    <row r="159" spans="2:16" x14ac:dyDescent="0.6">
      <c r="B159" s="62" t="s">
        <v>147</v>
      </c>
      <c r="C159" s="151">
        <v>34.203000000000003</v>
      </c>
      <c r="D159" s="151">
        <v>126.768</v>
      </c>
      <c r="E159" s="151">
        <v>0</v>
      </c>
      <c r="F159" s="151">
        <v>0</v>
      </c>
      <c r="G159" s="151">
        <v>0</v>
      </c>
      <c r="H159" s="151">
        <v>0</v>
      </c>
      <c r="I159" s="32">
        <v>0</v>
      </c>
      <c r="J159" s="32">
        <v>0</v>
      </c>
      <c r="K159" s="32">
        <v>0</v>
      </c>
      <c r="L159" s="32">
        <v>0</v>
      </c>
      <c r="M159" s="32">
        <v>0</v>
      </c>
      <c r="N159" s="32">
        <v>0</v>
      </c>
      <c r="O159" s="32">
        <v>0</v>
      </c>
    </row>
    <row r="160" spans="2:16" x14ac:dyDescent="0.6">
      <c r="B160" s="62" t="s">
        <v>148</v>
      </c>
      <c r="C160" s="151">
        <v>0</v>
      </c>
      <c r="D160" s="151">
        <v>-16.835000000000001</v>
      </c>
      <c r="E160" s="151">
        <v>-52.171999999999997</v>
      </c>
      <c r="F160" s="151">
        <v>-66.403000000000006</v>
      </c>
      <c r="G160" s="151">
        <v>-10</v>
      </c>
      <c r="H160" s="151">
        <v>0</v>
      </c>
      <c r="I160" s="32">
        <v>0</v>
      </c>
      <c r="J160" s="32">
        <v>0</v>
      </c>
      <c r="K160" s="32">
        <v>0</v>
      </c>
      <c r="L160" s="32">
        <v>0</v>
      </c>
      <c r="M160" s="32">
        <v>0</v>
      </c>
      <c r="N160" s="32">
        <v>0</v>
      </c>
      <c r="O160" s="32">
        <v>0</v>
      </c>
    </row>
    <row r="161" spans="2:50" x14ac:dyDescent="0.6">
      <c r="B161" s="62" t="s">
        <v>149</v>
      </c>
      <c r="C161" s="151">
        <v>28.393999999999998</v>
      </c>
      <c r="D161" s="151">
        <v>160.577</v>
      </c>
      <c r="E161" s="151">
        <v>17.974</v>
      </c>
      <c r="F161" s="151">
        <v>116.349</v>
      </c>
      <c r="G161" s="151">
        <v>581</v>
      </c>
      <c r="H161" s="151">
        <v>470</v>
      </c>
      <c r="I161" s="32">
        <v>0</v>
      </c>
      <c r="J161" s="32">
        <v>0</v>
      </c>
      <c r="K161" s="32">
        <v>0</v>
      </c>
      <c r="L161" s="32">
        <v>0</v>
      </c>
      <c r="M161" s="32">
        <v>0</v>
      </c>
      <c r="N161" s="32">
        <v>0</v>
      </c>
      <c r="O161" s="32">
        <v>0</v>
      </c>
    </row>
    <row r="162" spans="2:50" x14ac:dyDescent="0.6">
      <c r="B162" s="62" t="s">
        <v>150</v>
      </c>
      <c r="C162" s="151">
        <v>-52.38</v>
      </c>
      <c r="D162" s="151">
        <v>-78.185000000000002</v>
      </c>
      <c r="E162" s="151">
        <v>-27.893000000000001</v>
      </c>
      <c r="F162" s="151">
        <v>-60.523000000000003</v>
      </c>
      <c r="G162" s="151">
        <v>-159</v>
      </c>
      <c r="H162" s="151">
        <v>-47</v>
      </c>
      <c r="I162" s="32">
        <v>0</v>
      </c>
      <c r="J162" s="32">
        <v>0</v>
      </c>
      <c r="K162" s="32">
        <v>0</v>
      </c>
      <c r="L162" s="32">
        <v>0</v>
      </c>
      <c r="M162" s="32">
        <v>0</v>
      </c>
      <c r="N162" s="32">
        <v>0</v>
      </c>
      <c r="O162" s="32">
        <v>0</v>
      </c>
    </row>
    <row r="163" spans="2:50" x14ac:dyDescent="0.6">
      <c r="B163" s="62" t="s">
        <v>151</v>
      </c>
      <c r="C163" s="151">
        <v>0</v>
      </c>
      <c r="D163" s="151">
        <v>18.824000000000002</v>
      </c>
      <c r="E163" s="151">
        <v>0</v>
      </c>
      <c r="F163" s="151">
        <v>0</v>
      </c>
      <c r="G163" s="151">
        <v>0</v>
      </c>
      <c r="H163" s="151">
        <v>0</v>
      </c>
      <c r="I163" s="32">
        <v>0</v>
      </c>
      <c r="J163" s="32">
        <v>0</v>
      </c>
      <c r="K163" s="32">
        <v>0</v>
      </c>
      <c r="L163" s="32">
        <v>0</v>
      </c>
      <c r="M163" s="32">
        <v>0</v>
      </c>
      <c r="N163" s="32">
        <v>0</v>
      </c>
      <c r="O163" s="32">
        <v>0</v>
      </c>
    </row>
    <row r="164" spans="2:50" x14ac:dyDescent="0.6">
      <c r="B164" s="62" t="s">
        <v>152</v>
      </c>
      <c r="C164" s="151">
        <v>0</v>
      </c>
      <c r="D164" s="151">
        <v>-2.0139999999999998</v>
      </c>
      <c r="E164" s="151">
        <v>-4.5679999999999996</v>
      </c>
      <c r="F164" s="151">
        <v>-4.3869999999999996</v>
      </c>
      <c r="G164" s="151">
        <v>-5</v>
      </c>
      <c r="H164" s="151">
        <v>-7</v>
      </c>
      <c r="I164" s="32">
        <v>0</v>
      </c>
      <c r="J164" s="32">
        <v>0</v>
      </c>
      <c r="K164" s="32">
        <v>0</v>
      </c>
      <c r="L164" s="32">
        <v>0</v>
      </c>
      <c r="M164" s="32">
        <v>0</v>
      </c>
      <c r="N164" s="32">
        <v>0</v>
      </c>
      <c r="O164" s="32">
        <v>0</v>
      </c>
    </row>
    <row r="165" spans="2:50" x14ac:dyDescent="0.6">
      <c r="B165" s="62" t="s">
        <v>153</v>
      </c>
      <c r="C165" s="151">
        <v>0.29299999999999998</v>
      </c>
      <c r="D165" s="151">
        <v>5.8310000000000004</v>
      </c>
      <c r="E165" s="151">
        <v>6.7759999999999998</v>
      </c>
      <c r="F165" s="151">
        <v>12.252000000000001</v>
      </c>
      <c r="G165" s="151">
        <v>5</v>
      </c>
      <c r="H165" s="151">
        <v>7</v>
      </c>
      <c r="I165" s="32">
        <v>0</v>
      </c>
      <c r="J165" s="32">
        <v>0</v>
      </c>
      <c r="K165" s="32">
        <v>0</v>
      </c>
      <c r="L165" s="32">
        <v>0</v>
      </c>
      <c r="M165" s="32">
        <v>0</v>
      </c>
      <c r="N165" s="32">
        <v>0</v>
      </c>
      <c r="O165" s="32">
        <v>0</v>
      </c>
    </row>
    <row r="166" spans="2:50" x14ac:dyDescent="0.6">
      <c r="B166" s="62" t="s">
        <v>154</v>
      </c>
      <c r="C166" s="151">
        <v>-0.69499999999999995</v>
      </c>
      <c r="D166" s="151">
        <v>-3.774</v>
      </c>
      <c r="E166" s="151">
        <v>-1.4999999999999999E-2</v>
      </c>
      <c r="F166" s="151">
        <v>-4.6070000000000002</v>
      </c>
      <c r="G166" s="151">
        <v>0</v>
      </c>
      <c r="H166" s="151">
        <v>0</v>
      </c>
      <c r="I166" s="32">
        <v>0</v>
      </c>
      <c r="J166" s="32">
        <v>0</v>
      </c>
      <c r="K166" s="32">
        <v>0</v>
      </c>
      <c r="L166" s="32">
        <v>0</v>
      </c>
      <c r="M166" s="32">
        <v>0</v>
      </c>
      <c r="N166" s="32">
        <v>0</v>
      </c>
      <c r="O166" s="32">
        <v>0</v>
      </c>
    </row>
    <row r="167" spans="2:50" x14ac:dyDescent="0.6">
      <c r="B167" s="62" t="s">
        <v>155</v>
      </c>
      <c r="C167" s="151">
        <v>0</v>
      </c>
      <c r="D167" s="151">
        <v>0</v>
      </c>
      <c r="E167" s="151">
        <v>-2.6459999999999999</v>
      </c>
      <c r="F167" s="151">
        <v>0</v>
      </c>
      <c r="G167" s="151">
        <v>0</v>
      </c>
      <c r="H167" s="151">
        <v>0</v>
      </c>
      <c r="I167" s="32">
        <v>0</v>
      </c>
      <c r="J167" s="32">
        <v>0</v>
      </c>
      <c r="K167" s="32">
        <v>0</v>
      </c>
      <c r="L167" s="32">
        <v>0</v>
      </c>
      <c r="M167" s="32">
        <v>0</v>
      </c>
      <c r="N167" s="32">
        <v>0</v>
      </c>
      <c r="O167" s="32">
        <v>0</v>
      </c>
    </row>
    <row r="168" spans="2:50" s="54" customFormat="1" ht="15.9" thickBot="1" x14ac:dyDescent="0.65">
      <c r="B168" s="52" t="s">
        <v>32</v>
      </c>
      <c r="C168" s="54">
        <f t="shared" ref="C168:O168" si="72">C122+C148+C153</f>
        <v>241.56900000000013</v>
      </c>
      <c r="D168" s="54">
        <f t="shared" si="72"/>
        <v>882.6819999999999</v>
      </c>
      <c r="E168" s="54">
        <f t="shared" si="72"/>
        <v>1198.3429999999996</v>
      </c>
      <c r="F168" s="54">
        <f t="shared" si="72"/>
        <v>256.40216999999984</v>
      </c>
      <c r="G168" s="54">
        <f t="shared" si="72"/>
        <v>1063.6155611132081</v>
      </c>
      <c r="H168" s="54">
        <f t="shared" si="72"/>
        <v>2317.0277473636811</v>
      </c>
      <c r="I168" s="54">
        <f t="shared" ca="1" si="72"/>
        <v>4576.6856368108429</v>
      </c>
      <c r="J168" s="54">
        <f t="shared" ca="1" si="72"/>
        <v>12571.723102380492</v>
      </c>
      <c r="K168" s="54">
        <f t="shared" ca="1" si="72"/>
        <v>12611.906201097014</v>
      </c>
      <c r="L168" s="54">
        <f t="shared" ca="1" si="72"/>
        <v>14606.489401903464</v>
      </c>
      <c r="M168" s="54">
        <f t="shared" ca="1" si="72"/>
        <v>16065.533746427849</v>
      </c>
      <c r="N168" s="54">
        <f t="shared" ca="1" si="72"/>
        <v>17635.02042086226</v>
      </c>
      <c r="O168" s="54">
        <f t="shared" ca="1" si="72"/>
        <v>19365.021000696459</v>
      </c>
      <c r="T168" s="87"/>
      <c r="U168" s="87"/>
      <c r="V168" s="87"/>
      <c r="W168" s="87"/>
      <c r="X168" s="87"/>
      <c r="Y168" s="87"/>
      <c r="Z168" s="87"/>
      <c r="AA168" s="87"/>
      <c r="AB168" s="87"/>
      <c r="AC168" s="87"/>
      <c r="AD168" s="87"/>
      <c r="AE168" s="87"/>
      <c r="AF168" s="87"/>
      <c r="AG168" s="87"/>
      <c r="AH168" s="87"/>
      <c r="AI168" s="87"/>
      <c r="AJ168" s="87"/>
      <c r="AK168" s="87"/>
      <c r="AL168" s="87"/>
      <c r="AM168" s="87"/>
      <c r="AN168" s="87"/>
      <c r="AO168" s="87"/>
      <c r="AP168" s="87"/>
      <c r="AQ168" s="87"/>
      <c r="AR168" s="87"/>
      <c r="AS168" s="87"/>
      <c r="AT168" s="87"/>
      <c r="AU168" s="87"/>
      <c r="AV168" s="87"/>
      <c r="AW168" s="87"/>
      <c r="AX168" s="87"/>
    </row>
    <row r="169" spans="2:50" x14ac:dyDescent="0.6">
      <c r="B169" s="63" t="s">
        <v>34</v>
      </c>
      <c r="C169" s="151">
        <v>201.95699999999999</v>
      </c>
      <c r="D169" s="97">
        <f>C171</f>
        <v>379.2</v>
      </c>
      <c r="E169" s="97">
        <f t="shared" ref="E169:O169" si="73">D171</f>
        <v>1246.5999999999999</v>
      </c>
      <c r="F169" s="97">
        <f>E171</f>
        <v>2343.8000000000002</v>
      </c>
      <c r="G169" s="98">
        <f t="shared" si="73"/>
        <v>2704.62817</v>
      </c>
      <c r="H169" s="98">
        <f t="shared" si="73"/>
        <v>3768.243731113208</v>
      </c>
      <c r="I169" s="98">
        <f t="shared" si="73"/>
        <v>6085.2714784768887</v>
      </c>
      <c r="J169" s="98">
        <f t="shared" ca="1" si="73"/>
        <v>10661.957115287732</v>
      </c>
      <c r="K169" s="98">
        <f t="shared" ca="1" si="73"/>
        <v>23233.680217668225</v>
      </c>
      <c r="L169" s="98">
        <f t="shared" ca="1" si="73"/>
        <v>35845.586418765241</v>
      </c>
      <c r="M169" s="98">
        <f t="shared" ca="1" si="73"/>
        <v>50452.075820668702</v>
      </c>
      <c r="N169" s="98">
        <f t="shared" ca="1" si="73"/>
        <v>66517.609567096544</v>
      </c>
      <c r="O169" s="98">
        <f t="shared" ca="1" si="73"/>
        <v>84152.629987958804</v>
      </c>
    </row>
    <row r="170" spans="2:50" x14ac:dyDescent="0.6">
      <c r="B170" s="63" t="s">
        <v>33</v>
      </c>
      <c r="C170" s="151">
        <v>-64.335999999999999</v>
      </c>
      <c r="D170" s="151">
        <v>-15.292</v>
      </c>
      <c r="E170" s="151">
        <v>-101.13800000000001</v>
      </c>
      <c r="F170" s="151">
        <v>104.426</v>
      </c>
      <c r="G170" s="32">
        <v>0</v>
      </c>
      <c r="H170" s="32">
        <v>0</v>
      </c>
      <c r="I170" s="32">
        <v>0</v>
      </c>
      <c r="J170" s="32">
        <v>0</v>
      </c>
      <c r="K170" s="32">
        <v>0</v>
      </c>
      <c r="L170" s="32">
        <v>0</v>
      </c>
      <c r="M170" s="32">
        <v>0</v>
      </c>
      <c r="N170" s="32">
        <v>0</v>
      </c>
      <c r="O170" s="32">
        <v>0</v>
      </c>
    </row>
    <row r="171" spans="2:50" x14ac:dyDescent="0.6">
      <c r="B171" s="63" t="s">
        <v>35</v>
      </c>
      <c r="C171" s="97">
        <f>C184</f>
        <v>379.2</v>
      </c>
      <c r="D171" s="97">
        <f>D184</f>
        <v>1246.5999999999999</v>
      </c>
      <c r="E171" s="97">
        <f>E184</f>
        <v>2343.8000000000002</v>
      </c>
      <c r="F171" s="97">
        <f>F169+F170+F168</f>
        <v>2704.62817</v>
      </c>
      <c r="G171" s="98">
        <f t="shared" ref="G171:O171" si="74">G169+G170+G168</f>
        <v>3768.243731113208</v>
      </c>
      <c r="H171" s="98">
        <f t="shared" si="74"/>
        <v>6085.2714784768887</v>
      </c>
      <c r="I171" s="98">
        <f t="shared" ca="1" si="74"/>
        <v>10661.957115287732</v>
      </c>
      <c r="J171" s="98">
        <f t="shared" ca="1" si="74"/>
        <v>23233.680217668225</v>
      </c>
      <c r="K171" s="98">
        <f t="shared" ca="1" si="74"/>
        <v>35845.586418765241</v>
      </c>
      <c r="L171" s="98">
        <f t="shared" ca="1" si="74"/>
        <v>50452.075820668702</v>
      </c>
      <c r="M171" s="98">
        <f t="shared" ca="1" si="74"/>
        <v>66517.609567096544</v>
      </c>
      <c r="N171" s="98">
        <f t="shared" ca="1" si="74"/>
        <v>84152.629987958804</v>
      </c>
      <c r="O171" s="98">
        <f t="shared" ca="1" si="74"/>
        <v>103517.65098865527</v>
      </c>
    </row>
    <row r="172" spans="2:50" x14ac:dyDescent="0.6">
      <c r="B172" s="43"/>
      <c r="F172" s="344"/>
      <c r="G172" s="344"/>
    </row>
    <row r="173" spans="2:50" x14ac:dyDescent="0.6">
      <c r="B173" s="943" t="s">
        <v>1279</v>
      </c>
      <c r="F173" s="43">
        <f>-(F149+F150)</f>
        <v>28.497999999999998</v>
      </c>
      <c r="G173" s="43">
        <f>-(G149+G150)</f>
        <v>114</v>
      </c>
      <c r="H173" s="43">
        <f t="shared" ref="H173:O173" si="75">H174*H4</f>
        <v>160.56</v>
      </c>
      <c r="I173" s="43">
        <f t="shared" si="75"/>
        <v>239.15321622436264</v>
      </c>
      <c r="J173" s="43">
        <f t="shared" si="75"/>
        <v>304.87731335995602</v>
      </c>
      <c r="K173" s="43">
        <f t="shared" si="75"/>
        <v>374.21766360229071</v>
      </c>
      <c r="L173" s="43">
        <f t="shared" si="75"/>
        <v>436.69935463362401</v>
      </c>
      <c r="M173" s="43">
        <f t="shared" si="75"/>
        <v>491.90652338997069</v>
      </c>
      <c r="N173" s="43">
        <f t="shared" si="75"/>
        <v>544.55456084436321</v>
      </c>
      <c r="O173" s="43">
        <f t="shared" si="75"/>
        <v>608.57784486182004</v>
      </c>
    </row>
    <row r="174" spans="2:50" x14ac:dyDescent="0.6">
      <c r="B174" s="943" t="s">
        <v>1251</v>
      </c>
      <c r="F174" s="344">
        <f>F173/F4</f>
        <v>1.6793598151683551E-2</v>
      </c>
      <c r="G174" s="344">
        <f>G173/G4</f>
        <v>2.3798732863607581E-2</v>
      </c>
      <c r="H174" s="344">
        <v>0.02</v>
      </c>
      <c r="I174" s="344">
        <v>0.02</v>
      </c>
      <c r="J174" s="344">
        <v>0.02</v>
      </c>
      <c r="K174" s="344">
        <v>0.02</v>
      </c>
      <c r="L174" s="344">
        <v>0.02</v>
      </c>
      <c r="M174" s="344">
        <v>0.02</v>
      </c>
      <c r="N174" s="344">
        <v>0.02</v>
      </c>
      <c r="O174" s="344">
        <v>0.02</v>
      </c>
    </row>
    <row r="175" spans="2:50" x14ac:dyDescent="0.6">
      <c r="B175" s="943" t="s">
        <v>1280</v>
      </c>
      <c r="F175" s="344">
        <f>F173/-(F40-F29-F30)</f>
        <v>4.2027427401741091E-2</v>
      </c>
      <c r="G175" s="344">
        <f>G173/-(G40-G29-G30)</f>
        <v>8.5714285714285715E-2</v>
      </c>
      <c r="H175" s="344">
        <f t="shared" ref="H175:O175" si="76">H173/-(H40-H29-H30)</f>
        <v>9.5259566894096703E-2</v>
      </c>
      <c r="I175" s="344">
        <f t="shared" si="76"/>
        <v>0.10707911243740544</v>
      </c>
      <c r="J175" s="344">
        <f t="shared" si="76"/>
        <v>0.11340351532715574</v>
      </c>
      <c r="K175" s="344">
        <f t="shared" si="76"/>
        <v>0.11918462382062772</v>
      </c>
      <c r="L175" s="344">
        <f t="shared" si="76"/>
        <v>0.12298726951312501</v>
      </c>
      <c r="M175" s="344">
        <f t="shared" si="76"/>
        <v>0.1269471596962217</v>
      </c>
      <c r="N175" s="344">
        <f t="shared" si="76"/>
        <v>0.13112460540476462</v>
      </c>
      <c r="O175" s="344">
        <f t="shared" si="76"/>
        <v>0.1356121071522581</v>
      </c>
    </row>
    <row r="176" spans="2:50" x14ac:dyDescent="0.6">
      <c r="B176" s="43"/>
    </row>
    <row r="177" spans="2:50" s="54" customFormat="1" ht="14.7" thickBot="1" x14ac:dyDescent="0.6">
      <c r="B177" s="65" t="s">
        <v>36</v>
      </c>
      <c r="C177" s="54">
        <f>(C169+C170)+C168-C171</f>
        <v>-9.9999999998772182E-3</v>
      </c>
      <c r="D177" s="54">
        <f t="shared" ref="D177:O177" si="77">(D169+D170)+D168-D171</f>
        <v>-9.9999999999909051E-3</v>
      </c>
      <c r="E177" s="54">
        <f t="shared" si="77"/>
        <v>4.9999999991996447E-3</v>
      </c>
      <c r="F177" s="54">
        <f>(F169+F170)+F168-F171</f>
        <v>0</v>
      </c>
      <c r="G177" s="54">
        <f t="shared" si="77"/>
        <v>0</v>
      </c>
      <c r="H177" s="54">
        <f t="shared" si="77"/>
        <v>0</v>
      </c>
      <c r="I177" s="54">
        <f t="shared" ca="1" si="77"/>
        <v>0</v>
      </c>
      <c r="J177" s="54">
        <f t="shared" ca="1" si="77"/>
        <v>0</v>
      </c>
      <c r="K177" s="54">
        <f t="shared" ca="1" si="77"/>
        <v>0</v>
      </c>
      <c r="L177" s="54">
        <f t="shared" ca="1" si="77"/>
        <v>0</v>
      </c>
      <c r="M177" s="54">
        <f t="shared" ca="1" si="77"/>
        <v>0</v>
      </c>
      <c r="N177" s="54">
        <f t="shared" ca="1" si="77"/>
        <v>0</v>
      </c>
      <c r="O177" s="54">
        <f t="shared" ca="1" si="77"/>
        <v>0</v>
      </c>
    </row>
    <row r="180" spans="2:50" x14ac:dyDescent="0.6">
      <c r="B180" s="40" t="s">
        <v>37</v>
      </c>
      <c r="C180" s="952"/>
      <c r="D180" s="952"/>
      <c r="E180" s="952"/>
      <c r="F180" s="953"/>
      <c r="G180" s="953"/>
      <c r="H180" s="953"/>
      <c r="I180" s="953"/>
      <c r="J180" s="953"/>
      <c r="K180" s="953"/>
      <c r="L180" s="953"/>
      <c r="M180" s="953"/>
      <c r="N180" s="953"/>
      <c r="O180" s="953"/>
    </row>
    <row r="181" spans="2:50" s="54" customFormat="1" ht="14.7" thickBot="1" x14ac:dyDescent="0.6">
      <c r="B181" s="52" t="s">
        <v>38</v>
      </c>
      <c r="C181" s="54">
        <f>C182+C200</f>
        <v>2785.7999999999997</v>
      </c>
      <c r="D181" s="54">
        <f>D182+D200</f>
        <v>6759.9999999999991</v>
      </c>
      <c r="E181" s="54">
        <f>E182+E200</f>
        <v>10182.02558139535</v>
      </c>
      <c r="F181" s="54">
        <f>F182+F200+F183</f>
        <v>19858.656999999996</v>
      </c>
      <c r="G181" s="54">
        <f>G182+G200+G183</f>
        <v>29913.1</v>
      </c>
      <c r="H181" s="54">
        <f t="shared" ref="H181:O181" si="78">H182+H200+H183</f>
        <v>43342.3</v>
      </c>
      <c r="I181" s="54">
        <f t="shared" ca="1" si="78"/>
        <v>47128.607413226171</v>
      </c>
      <c r="J181" s="54">
        <f t="shared" ca="1" si="78"/>
        <v>60526.593966241264</v>
      </c>
      <c r="K181" s="54">
        <f t="shared" ca="1" si="78"/>
        <v>73477.300741526968</v>
      </c>
      <c r="L181" s="54">
        <f t="shared" ca="1" si="78"/>
        <v>85075.845719416771</v>
      </c>
      <c r="M181" s="54">
        <f t="shared" ca="1" si="78"/>
        <v>97283.454970582738</v>
      </c>
      <c r="N181" s="54">
        <f t="shared" ca="1" si="78"/>
        <v>109595.52800134871</v>
      </c>
      <c r="O181" s="54">
        <f t="shared" ca="1" si="78"/>
        <v>122816.01977699783</v>
      </c>
    </row>
    <row r="182" spans="2:50" s="23" customFormat="1" ht="14.4" x14ac:dyDescent="0.55000000000000004">
      <c r="B182" s="55" t="s">
        <v>39</v>
      </c>
      <c r="C182" s="23">
        <f>C183+C184+C185+C189+C191+C198+C199</f>
        <v>2778.6</v>
      </c>
      <c r="D182" s="23">
        <f>D183+D184+D185+D189+D191+D198+D199</f>
        <v>6732.9999999999991</v>
      </c>
      <c r="E182" s="23">
        <f>E183+E184+E185+E189+E191+E198+E199</f>
        <v>10148.225581395351</v>
      </c>
      <c r="F182" s="23">
        <f>F184+F185+F189+F191+F198+F199</f>
        <v>19363.912999999997</v>
      </c>
      <c r="G182" s="23">
        <f t="shared" ref="G182:O182" si="79">G184+G185+G189+G191+G198+G199</f>
        <v>29289.1</v>
      </c>
      <c r="H182" s="23">
        <f>H184+H185+H189+H191+H198+H199</f>
        <v>42579.3</v>
      </c>
      <c r="I182" s="23">
        <f t="shared" ca="1" si="79"/>
        <v>54529.120842836302</v>
      </c>
      <c r="J182" s="23">
        <f t="shared" ca="1" si="79"/>
        <v>79893.65797709678</v>
      </c>
      <c r="K182" s="23">
        <f t="shared" ca="1" si="79"/>
        <v>106267.57798505126</v>
      </c>
      <c r="L182" s="23">
        <f t="shared" ca="1" si="79"/>
        <v>135263.54822832553</v>
      </c>
      <c r="M182" s="23">
        <f t="shared" ca="1" si="79"/>
        <v>165435.40593201181</v>
      </c>
      <c r="N182" s="23">
        <f t="shared" ca="1" si="79"/>
        <v>196033.96330184944</v>
      </c>
      <c r="O182" s="23">
        <f t="shared" ca="1" si="79"/>
        <v>228372.2573249308</v>
      </c>
    </row>
    <row r="183" spans="2:50" ht="14.4" x14ac:dyDescent="0.55000000000000004">
      <c r="B183" s="66" t="s">
        <v>40</v>
      </c>
      <c r="C183" s="953">
        <v>0</v>
      </c>
      <c r="D183" s="953">
        <v>0</v>
      </c>
      <c r="E183" s="953">
        <v>0</v>
      </c>
      <c r="F183" s="953">
        <v>0</v>
      </c>
      <c r="G183" s="953">
        <v>0</v>
      </c>
      <c r="H183" s="953">
        <v>0</v>
      </c>
      <c r="I183" s="953">
        <f t="shared" ref="I183:O183" ca="1" si="80">-((I184+I185+I189+I191+I198+I199+I200)-I205)</f>
        <v>-8163.5134296101314</v>
      </c>
      <c r="J183" s="953">
        <f t="shared" ca="1" si="80"/>
        <v>-20130.064010855516</v>
      </c>
      <c r="K183" s="953">
        <f t="shared" ca="1" si="80"/>
        <v>-33553.277243524295</v>
      </c>
      <c r="L183" s="953">
        <f t="shared" ca="1" si="80"/>
        <v>-50950.702508908755</v>
      </c>
      <c r="M183" s="953">
        <f t="shared" ca="1" si="80"/>
        <v>-68914.950961429073</v>
      </c>
      <c r="N183" s="953">
        <f t="shared" ca="1" si="80"/>
        <v>-87201.435300500729</v>
      </c>
      <c r="O183" s="953">
        <f t="shared" ca="1" si="80"/>
        <v>-106319.23754793298</v>
      </c>
      <c r="P183" s="166"/>
      <c r="T183" s="43"/>
      <c r="U183" s="43"/>
      <c r="V183" s="43"/>
      <c r="W183" s="43"/>
      <c r="X183" s="43"/>
      <c r="Y183" s="43"/>
      <c r="Z183" s="43"/>
      <c r="AA183" s="43"/>
      <c r="AB183" s="43"/>
      <c r="AC183" s="43"/>
      <c r="AD183" s="43"/>
      <c r="AE183" s="43"/>
      <c r="AF183" s="43"/>
      <c r="AG183" s="43"/>
      <c r="AH183" s="43"/>
      <c r="AI183" s="43"/>
      <c r="AJ183" s="43"/>
      <c r="AK183" s="43"/>
      <c r="AL183" s="43"/>
      <c r="AM183" s="43"/>
      <c r="AN183" s="43"/>
      <c r="AO183" s="43"/>
      <c r="AP183" s="43"/>
      <c r="AQ183" s="43"/>
      <c r="AR183" s="43"/>
      <c r="AS183" s="43"/>
      <c r="AT183" s="43"/>
      <c r="AU183" s="43"/>
      <c r="AV183" s="43"/>
      <c r="AW183" s="43"/>
      <c r="AX183" s="43"/>
    </row>
    <row r="184" spans="2:50" x14ac:dyDescent="0.6">
      <c r="B184" s="66" t="s">
        <v>41</v>
      </c>
      <c r="C184" s="173">
        <v>379.2</v>
      </c>
      <c r="D184" s="173">
        <v>1246.5999999999999</v>
      </c>
      <c r="E184" s="173">
        <v>2343.8000000000002</v>
      </c>
      <c r="F184" s="173">
        <v>2705.6750000000002</v>
      </c>
      <c r="G184" s="173">
        <v>4172</v>
      </c>
      <c r="H184" s="173">
        <v>5923</v>
      </c>
      <c r="I184" s="953">
        <f t="shared" ref="I184:O184" ca="1" si="81">I171</f>
        <v>10661.957115287732</v>
      </c>
      <c r="J184" s="953">
        <f t="shared" ca="1" si="81"/>
        <v>23233.680217668225</v>
      </c>
      <c r="K184" s="953">
        <f t="shared" ca="1" si="81"/>
        <v>35845.586418765241</v>
      </c>
      <c r="L184" s="953">
        <f t="shared" ca="1" si="81"/>
        <v>50452.075820668702</v>
      </c>
      <c r="M184" s="953">
        <f t="shared" ca="1" si="81"/>
        <v>66517.609567096544</v>
      </c>
      <c r="N184" s="953">
        <f t="shared" ca="1" si="81"/>
        <v>84152.629987958804</v>
      </c>
      <c r="O184" s="953">
        <f t="shared" ca="1" si="81"/>
        <v>103517.65098865527</v>
      </c>
    </row>
    <row r="185" spans="2:50" s="23" customFormat="1" ht="14.4" x14ac:dyDescent="0.55000000000000004">
      <c r="B185" s="57" t="s">
        <v>100</v>
      </c>
      <c r="C185" s="23">
        <f>C186+C187+C188</f>
        <v>655.5</v>
      </c>
      <c r="D185" s="23">
        <f t="shared" ref="D185:O185" si="82">D186+D187+D188</f>
        <v>2400.6999999999998</v>
      </c>
      <c r="E185" s="23">
        <f t="shared" si="82"/>
        <v>4378.2000000000007</v>
      </c>
      <c r="F185" s="23">
        <f>F186+F187+F188</f>
        <v>918.33199999999999</v>
      </c>
      <c r="G185" s="23">
        <f t="shared" si="82"/>
        <v>133.10000000000002</v>
      </c>
      <c r="H185" s="23">
        <f t="shared" si="82"/>
        <v>389.3</v>
      </c>
      <c r="I185" s="23">
        <f t="shared" si="82"/>
        <v>389.3</v>
      </c>
      <c r="J185" s="23">
        <f t="shared" si="82"/>
        <v>389.3</v>
      </c>
      <c r="K185" s="23">
        <f t="shared" si="82"/>
        <v>389.3</v>
      </c>
      <c r="L185" s="23">
        <f t="shared" si="82"/>
        <v>389.3</v>
      </c>
      <c r="M185" s="23">
        <f t="shared" si="82"/>
        <v>389.3</v>
      </c>
      <c r="N185" s="23">
        <f t="shared" si="82"/>
        <v>389.3</v>
      </c>
      <c r="O185" s="23">
        <f t="shared" si="82"/>
        <v>389.3</v>
      </c>
    </row>
    <row r="186" spans="2:50" s="23" customFormat="1" ht="14.4" x14ac:dyDescent="0.55000000000000004">
      <c r="B186" s="58" t="s">
        <v>101</v>
      </c>
      <c r="C186" s="173">
        <v>570.20000000000005</v>
      </c>
      <c r="D186" s="173">
        <v>2237.6999999999998</v>
      </c>
      <c r="E186" s="173">
        <v>4287.3</v>
      </c>
      <c r="F186" s="173">
        <v>815.96199999999999</v>
      </c>
      <c r="G186" s="173">
        <v>91.8</v>
      </c>
      <c r="H186" s="173">
        <v>368</v>
      </c>
      <c r="I186" s="953">
        <f t="shared" ref="I186:O186" si="83">H186</f>
        <v>368</v>
      </c>
      <c r="J186" s="953">
        <f t="shared" si="83"/>
        <v>368</v>
      </c>
      <c r="K186" s="953">
        <f t="shared" si="83"/>
        <v>368</v>
      </c>
      <c r="L186" s="953">
        <f t="shared" si="83"/>
        <v>368</v>
      </c>
      <c r="M186" s="953">
        <f t="shared" si="83"/>
        <v>368</v>
      </c>
      <c r="N186" s="953">
        <f t="shared" si="83"/>
        <v>368</v>
      </c>
      <c r="O186" s="953">
        <f t="shared" si="83"/>
        <v>368</v>
      </c>
      <c r="P186" s="124"/>
      <c r="Q186" s="166"/>
    </row>
    <row r="187" spans="2:50" s="23" customFormat="1" ht="14.4" x14ac:dyDescent="0.55000000000000004">
      <c r="B187" s="58" t="s">
        <v>42</v>
      </c>
      <c r="C187" s="173">
        <v>0</v>
      </c>
      <c r="D187" s="173">
        <v>0.2</v>
      </c>
      <c r="E187" s="173">
        <v>0.1</v>
      </c>
      <c r="F187" s="173">
        <v>101.318</v>
      </c>
      <c r="G187" s="173">
        <v>41</v>
      </c>
      <c r="H187" s="173">
        <v>21</v>
      </c>
      <c r="I187" s="953">
        <f t="shared" ref="I187:O188" si="84">H187</f>
        <v>21</v>
      </c>
      <c r="J187" s="953">
        <f t="shared" si="84"/>
        <v>21</v>
      </c>
      <c r="K187" s="953">
        <f t="shared" si="84"/>
        <v>21</v>
      </c>
      <c r="L187" s="953">
        <f t="shared" si="84"/>
        <v>21</v>
      </c>
      <c r="M187" s="953">
        <f t="shared" si="84"/>
        <v>21</v>
      </c>
      <c r="N187" s="953">
        <f t="shared" si="84"/>
        <v>21</v>
      </c>
      <c r="O187" s="953">
        <f t="shared" si="84"/>
        <v>21</v>
      </c>
    </row>
    <row r="188" spans="2:50" s="23" customFormat="1" ht="14.4" x14ac:dyDescent="0.55000000000000004">
      <c r="B188" s="58" t="s">
        <v>102</v>
      </c>
      <c r="C188" s="173">
        <v>85.3</v>
      </c>
      <c r="D188" s="173">
        <v>162.80000000000001</v>
      </c>
      <c r="E188" s="173">
        <v>90.8</v>
      </c>
      <c r="F188" s="173">
        <v>1.052</v>
      </c>
      <c r="G188" s="173">
        <v>0.3</v>
      </c>
      <c r="H188" s="173">
        <v>0.3</v>
      </c>
      <c r="I188" s="953">
        <f t="shared" si="84"/>
        <v>0.3</v>
      </c>
      <c r="J188" s="953">
        <f t="shared" si="84"/>
        <v>0.3</v>
      </c>
      <c r="K188" s="953">
        <f t="shared" si="84"/>
        <v>0.3</v>
      </c>
      <c r="L188" s="953">
        <f t="shared" si="84"/>
        <v>0.3</v>
      </c>
      <c r="M188" s="953">
        <f t="shared" si="84"/>
        <v>0.3</v>
      </c>
      <c r="N188" s="953">
        <f t="shared" si="84"/>
        <v>0.3</v>
      </c>
      <c r="O188" s="953">
        <f t="shared" si="84"/>
        <v>0.3</v>
      </c>
    </row>
    <row r="189" spans="2:50" x14ac:dyDescent="0.6">
      <c r="B189" s="57" t="s">
        <v>103</v>
      </c>
      <c r="C189" s="23">
        <f>C190</f>
        <v>0</v>
      </c>
      <c r="D189" s="23">
        <f t="shared" ref="D189:O189" si="85">D190</f>
        <v>0</v>
      </c>
      <c r="E189" s="23">
        <f t="shared" si="85"/>
        <v>0</v>
      </c>
      <c r="F189" s="23">
        <f>F190</f>
        <v>8163.4279999999999</v>
      </c>
      <c r="G189" s="23">
        <f t="shared" si="85"/>
        <v>9947</v>
      </c>
      <c r="H189" s="23">
        <f t="shared" si="85"/>
        <v>8805</v>
      </c>
      <c r="I189" s="23">
        <f t="shared" si="85"/>
        <v>10529.997748993008</v>
      </c>
      <c r="J189" s="23">
        <f t="shared" si="85"/>
        <v>13703.528917718178</v>
      </c>
      <c r="K189" s="23">
        <f t="shared" si="85"/>
        <v>16459.660812613845</v>
      </c>
      <c r="L189" s="23">
        <f t="shared" si="85"/>
        <v>19505.54649907177</v>
      </c>
      <c r="M189" s="23">
        <f t="shared" si="85"/>
        <v>22653.81014453599</v>
      </c>
      <c r="N189" s="23">
        <f t="shared" si="85"/>
        <v>25766.142520133497</v>
      </c>
      <c r="O189" s="23">
        <f t="shared" si="85"/>
        <v>29046.667458964232</v>
      </c>
    </row>
    <row r="190" spans="2:50" x14ac:dyDescent="0.6">
      <c r="B190" s="58" t="s">
        <v>101</v>
      </c>
      <c r="C190" s="173">
        <v>0</v>
      </c>
      <c r="D190" s="173">
        <v>0</v>
      </c>
      <c r="E190" s="173">
        <v>0</v>
      </c>
      <c r="F190" s="173">
        <v>8163.4279999999999</v>
      </c>
      <c r="G190" s="173">
        <v>9947</v>
      </c>
      <c r="H190" s="173">
        <v>8805</v>
      </c>
      <c r="I190" s="953">
        <f>'BS Estimates'!I7</f>
        <v>10529.997748993008</v>
      </c>
      <c r="J190" s="953">
        <f>'BS Estimates'!J7</f>
        <v>13703.528917718178</v>
      </c>
      <c r="K190" s="953">
        <f>'BS Estimates'!K7</f>
        <v>16459.660812613845</v>
      </c>
      <c r="L190" s="953">
        <f>'BS Estimates'!L7</f>
        <v>19505.54649907177</v>
      </c>
      <c r="M190" s="953">
        <f>'BS Estimates'!M7</f>
        <v>22653.81014453599</v>
      </c>
      <c r="N190" s="953">
        <f>'BS Estimates'!N7</f>
        <v>25766.142520133497</v>
      </c>
      <c r="O190" s="953">
        <f>'BS Estimates'!O7</f>
        <v>29046.667458964232</v>
      </c>
      <c r="P190" s="124"/>
      <c r="Q190" s="166"/>
    </row>
    <row r="191" spans="2:50" s="23" customFormat="1" ht="14.4" x14ac:dyDescent="0.55000000000000004">
      <c r="B191" s="57" t="s">
        <v>104</v>
      </c>
      <c r="C191" s="23">
        <f>C192+C193+C194+C196+C197</f>
        <v>1652.7</v>
      </c>
      <c r="D191" s="23">
        <f>D192+D193+D194+D196+D197</f>
        <v>2923.6</v>
      </c>
      <c r="E191" s="23">
        <f>E192+E193+E194+E196+E197</f>
        <v>3177.6255813953489</v>
      </c>
      <c r="F191" s="23">
        <f>F192+F193+F194+F196+F197</f>
        <v>6932.4619999999995</v>
      </c>
      <c r="G191" s="23">
        <f>G192+G193+G194+G196+G197</f>
        <v>13684</v>
      </c>
      <c r="H191" s="23">
        <f>H192+H193+H194+H195+H196+H197</f>
        <v>24988</v>
      </c>
      <c r="I191" s="23">
        <f t="shared" ref="I191:O191" si="86">I192+I193+I194+I195+I196+I197</f>
        <v>30473.865978555561</v>
      </c>
      <c r="J191" s="23">
        <f t="shared" si="86"/>
        <v>40093.148841710376</v>
      </c>
      <c r="K191" s="23">
        <f t="shared" si="86"/>
        <v>51099.030753672181</v>
      </c>
      <c r="L191" s="23">
        <f t="shared" si="86"/>
        <v>62442.625908585054</v>
      </c>
      <c r="M191" s="23">
        <f t="shared" si="86"/>
        <v>73400.68622037927</v>
      </c>
      <c r="N191" s="23">
        <f t="shared" si="86"/>
        <v>83251.890793757149</v>
      </c>
      <c r="O191" s="23">
        <f t="shared" si="86"/>
        <v>92944.638877311314</v>
      </c>
    </row>
    <row r="192" spans="2:50" x14ac:dyDescent="0.6">
      <c r="B192" s="58" t="s">
        <v>105</v>
      </c>
      <c r="C192" s="173">
        <v>0</v>
      </c>
      <c r="D192" s="173">
        <v>0</v>
      </c>
      <c r="E192" s="173">
        <v>43.5</v>
      </c>
      <c r="F192" s="173">
        <v>938.65899999999999</v>
      </c>
      <c r="G192" s="173">
        <v>2778</v>
      </c>
      <c r="H192" s="173">
        <v>7447</v>
      </c>
      <c r="I192" s="953">
        <f>'BS Estimates'!I11</f>
        <v>9457.1046553846172</v>
      </c>
      <c r="J192" s="953">
        <f>'BS Estimates'!J11</f>
        <v>12307.287257999998</v>
      </c>
      <c r="K192" s="953">
        <f>'BS Estimates'!K11</f>
        <v>14782.599066738463</v>
      </c>
      <c r="L192" s="953">
        <f>'BS Estimates'!L11</f>
        <v>17518.141883727694</v>
      </c>
      <c r="M192" s="953">
        <f>'BS Estimates'!M11</f>
        <v>20345.631450925852</v>
      </c>
      <c r="N192" s="953">
        <f>'BS Estimates'!N11</f>
        <v>23140.85075675925</v>
      </c>
      <c r="O192" s="953">
        <f>'BS Estimates'!O11</f>
        <v>26087.125619361981</v>
      </c>
      <c r="P192" s="124"/>
      <c r="Q192" s="166"/>
    </row>
    <row r="193" spans="2:51" s="23" customFormat="1" ht="14.4" x14ac:dyDescent="0.55000000000000004">
      <c r="B193" s="58" t="s">
        <v>106</v>
      </c>
      <c r="C193" s="173">
        <v>1623.8</v>
      </c>
      <c r="D193" s="173">
        <v>2786.5</v>
      </c>
      <c r="E193" s="97">
        <f>Drivers!E39</f>
        <v>2908.9</v>
      </c>
      <c r="F193" s="97">
        <f>Drivers!F39</f>
        <v>4780.5</v>
      </c>
      <c r="G193" s="97">
        <f>Drivers!G39</f>
        <v>8233</v>
      </c>
      <c r="H193" s="97">
        <f>Drivers!H39</f>
        <v>12414</v>
      </c>
      <c r="I193" s="953">
        <f>Drivers!I39</f>
        <v>13815.930217466615</v>
      </c>
      <c r="J193" s="953">
        <f>Drivers!J39</f>
        <v>17490.813710703274</v>
      </c>
      <c r="K193" s="953">
        <f>Drivers!K39</f>
        <v>21805.308328756375</v>
      </c>
      <c r="L193" s="953">
        <f>Drivers!L39</f>
        <v>25921.98551539487</v>
      </c>
      <c r="M193" s="953">
        <f>Drivers!M39</f>
        <v>29918.191918067936</v>
      </c>
      <c r="N193" s="953">
        <f>Drivers!N39</f>
        <v>33867.440667896975</v>
      </c>
      <c r="O193" s="953">
        <f>Drivers!O39</f>
        <v>37995.513584698449</v>
      </c>
      <c r="P193" s="124"/>
    </row>
    <row r="194" spans="2:51" s="23" customFormat="1" ht="14.4" x14ac:dyDescent="0.55000000000000004">
      <c r="B194" s="58" t="s">
        <v>107</v>
      </c>
      <c r="C194" s="173">
        <v>0</v>
      </c>
      <c r="D194" s="173">
        <v>58</v>
      </c>
      <c r="E194" s="953">
        <f>Drivers!E37</f>
        <v>202.32558139534882</v>
      </c>
      <c r="F194" s="953">
        <f>Drivers!F37</f>
        <v>1194.81</v>
      </c>
      <c r="G194" s="953">
        <f>Drivers!G37</f>
        <v>1673</v>
      </c>
      <c r="H194" s="953">
        <f>Drivers!H37</f>
        <v>3202</v>
      </c>
      <c r="I194" s="953">
        <f>Drivers!I37</f>
        <v>5115.5955553122285</v>
      </c>
      <c r="J194" s="953">
        <f>Drivers!J37</f>
        <v>7120.1529412615355</v>
      </c>
      <c r="K194" s="953">
        <f>Drivers!K37</f>
        <v>9275.6117367715942</v>
      </c>
      <c r="L194" s="953">
        <f>Drivers!L37</f>
        <v>11794.858215714314</v>
      </c>
      <c r="M194" s="953">
        <f>Drivers!M37</f>
        <v>14389.587426944578</v>
      </c>
      <c r="N194" s="953">
        <f>Drivers!N37</f>
        <v>16526.910438636209</v>
      </c>
      <c r="O194" s="953">
        <f>Drivers!O37</f>
        <v>18591.990974353841</v>
      </c>
      <c r="P194" s="124"/>
    </row>
    <row r="195" spans="2:51" s="23" customFormat="1" ht="14.4" x14ac:dyDescent="0.55000000000000004">
      <c r="B195" s="58" t="s">
        <v>419</v>
      </c>
      <c r="C195" s="173"/>
      <c r="D195" s="173"/>
      <c r="E195" s="953"/>
      <c r="F195" s="953"/>
      <c r="G195" s="953"/>
      <c r="H195" s="953">
        <f>Drivers!H41</f>
        <v>0</v>
      </c>
      <c r="I195" s="953">
        <f>Drivers!I41</f>
        <v>160.2355503920999</v>
      </c>
      <c r="J195" s="953">
        <f>Drivers!J41</f>
        <v>1249.8949317455706</v>
      </c>
      <c r="K195" s="953">
        <f>Drivers!K41</f>
        <v>3310.5116214057502</v>
      </c>
      <c r="L195" s="953">
        <f>Drivers!L41</f>
        <v>5282.6402937481844</v>
      </c>
      <c r="M195" s="953">
        <f>Drivers!M41</f>
        <v>6822.2754244408952</v>
      </c>
      <c r="N195" s="953">
        <f>Drivers!N41</f>
        <v>7791.6889304647129</v>
      </c>
      <c r="O195" s="953">
        <f>Drivers!O41</f>
        <v>8345.0086988970397</v>
      </c>
      <c r="P195" s="124"/>
    </row>
    <row r="196" spans="2:51" x14ac:dyDescent="0.6">
      <c r="B196" s="58" t="s">
        <v>108</v>
      </c>
      <c r="C196" s="173">
        <v>0</v>
      </c>
      <c r="D196" s="173">
        <v>0.1</v>
      </c>
      <c r="E196" s="173">
        <v>0</v>
      </c>
      <c r="F196" s="173">
        <f t="shared" ref="F196:O196" si="87">E196</f>
        <v>0</v>
      </c>
      <c r="G196" s="173">
        <v>0</v>
      </c>
      <c r="H196" s="173">
        <v>0</v>
      </c>
      <c r="I196" s="953">
        <f t="shared" si="87"/>
        <v>0</v>
      </c>
      <c r="J196" s="953">
        <f t="shared" si="87"/>
        <v>0</v>
      </c>
      <c r="K196" s="953">
        <f t="shared" si="87"/>
        <v>0</v>
      </c>
      <c r="L196" s="953">
        <f t="shared" si="87"/>
        <v>0</v>
      </c>
      <c r="M196" s="953">
        <f t="shared" si="87"/>
        <v>0</v>
      </c>
      <c r="N196" s="953">
        <f t="shared" si="87"/>
        <v>0</v>
      </c>
      <c r="O196" s="953">
        <f t="shared" si="87"/>
        <v>0</v>
      </c>
      <c r="P196" s="124"/>
      <c r="Q196" s="166"/>
    </row>
    <row r="197" spans="2:51" x14ac:dyDescent="0.6">
      <c r="B197" s="58" t="s">
        <v>109</v>
      </c>
      <c r="C197" s="173">
        <v>28.9</v>
      </c>
      <c r="D197" s="173">
        <v>79</v>
      </c>
      <c r="E197" s="173">
        <v>22.9</v>
      </c>
      <c r="F197" s="173">
        <v>18.492999999999999</v>
      </c>
      <c r="G197" s="173">
        <f>478+522</f>
        <v>1000</v>
      </c>
      <c r="H197" s="173">
        <f>1689+132+104</f>
        <v>1925</v>
      </c>
      <c r="I197" s="953">
        <f t="shared" ref="I197:O197" si="88">H197</f>
        <v>1925</v>
      </c>
      <c r="J197" s="953">
        <f t="shared" si="88"/>
        <v>1925</v>
      </c>
      <c r="K197" s="953">
        <f t="shared" si="88"/>
        <v>1925</v>
      </c>
      <c r="L197" s="953">
        <f t="shared" si="88"/>
        <v>1925</v>
      </c>
      <c r="M197" s="953">
        <f t="shared" si="88"/>
        <v>1925</v>
      </c>
      <c r="N197" s="953">
        <f t="shared" si="88"/>
        <v>1925</v>
      </c>
      <c r="O197" s="953">
        <f t="shared" si="88"/>
        <v>1925</v>
      </c>
    </row>
    <row r="198" spans="2:51" x14ac:dyDescent="0.6">
      <c r="B198" s="69" t="s">
        <v>44</v>
      </c>
      <c r="C198" s="173">
        <v>36</v>
      </c>
      <c r="D198" s="173">
        <v>67.900000000000006</v>
      </c>
      <c r="E198" s="173">
        <v>123.5</v>
      </c>
      <c r="F198" s="173">
        <v>283.26400000000001</v>
      </c>
      <c r="G198" s="173">
        <v>542</v>
      </c>
      <c r="H198" s="173">
        <v>936</v>
      </c>
      <c r="I198" s="953">
        <f t="shared" ref="I198:O198" si="89">H198</f>
        <v>936</v>
      </c>
      <c r="J198" s="953">
        <f t="shared" si="89"/>
        <v>936</v>
      </c>
      <c r="K198" s="953">
        <f t="shared" si="89"/>
        <v>936</v>
      </c>
      <c r="L198" s="953">
        <f t="shared" si="89"/>
        <v>936</v>
      </c>
      <c r="M198" s="953">
        <f t="shared" si="89"/>
        <v>936</v>
      </c>
      <c r="N198" s="953">
        <f t="shared" si="89"/>
        <v>936</v>
      </c>
      <c r="O198" s="953">
        <f t="shared" si="89"/>
        <v>936</v>
      </c>
    </row>
    <row r="199" spans="2:51" x14ac:dyDescent="0.6">
      <c r="B199" s="69" t="s">
        <v>110</v>
      </c>
      <c r="C199" s="173">
        <v>55.2</v>
      </c>
      <c r="D199" s="173">
        <v>94.2</v>
      </c>
      <c r="E199" s="173">
        <v>125.1</v>
      </c>
      <c r="F199" s="173">
        <v>360.75200000000001</v>
      </c>
      <c r="G199" s="173">
        <v>811</v>
      </c>
      <c r="H199" s="173">
        <v>1538</v>
      </c>
      <c r="I199" s="953">
        <f t="shared" ref="I199:O199" si="90">H199</f>
        <v>1538</v>
      </c>
      <c r="J199" s="953">
        <f t="shared" si="90"/>
        <v>1538</v>
      </c>
      <c r="K199" s="953">
        <f t="shared" si="90"/>
        <v>1538</v>
      </c>
      <c r="L199" s="953">
        <f t="shared" si="90"/>
        <v>1538</v>
      </c>
      <c r="M199" s="953">
        <f t="shared" si="90"/>
        <v>1538</v>
      </c>
      <c r="N199" s="953">
        <f t="shared" si="90"/>
        <v>1538</v>
      </c>
      <c r="O199" s="953">
        <f t="shared" si="90"/>
        <v>1538</v>
      </c>
    </row>
    <row r="200" spans="2:51" x14ac:dyDescent="0.6">
      <c r="B200" s="55" t="s">
        <v>134</v>
      </c>
      <c r="C200" s="23">
        <f>C201+C202+C203+C204</f>
        <v>7.2</v>
      </c>
      <c r="D200" s="23">
        <f t="shared" ref="D200:O200" si="91">D201+D202+D203+D204</f>
        <v>27</v>
      </c>
      <c r="E200" s="23">
        <f t="shared" si="91"/>
        <v>33.799999999999997</v>
      </c>
      <c r="F200" s="23">
        <f t="shared" si="91"/>
        <v>494.74400000000003</v>
      </c>
      <c r="G200" s="23">
        <f t="shared" si="91"/>
        <v>624</v>
      </c>
      <c r="H200" s="23">
        <f t="shared" si="91"/>
        <v>763</v>
      </c>
      <c r="I200" s="23">
        <f t="shared" si="91"/>
        <v>763</v>
      </c>
      <c r="J200" s="23">
        <f t="shared" si="91"/>
        <v>763</v>
      </c>
      <c r="K200" s="23">
        <f t="shared" si="91"/>
        <v>763</v>
      </c>
      <c r="L200" s="23">
        <f t="shared" si="91"/>
        <v>763</v>
      </c>
      <c r="M200" s="23">
        <f t="shared" si="91"/>
        <v>763</v>
      </c>
      <c r="N200" s="23">
        <f t="shared" si="91"/>
        <v>763</v>
      </c>
      <c r="O200" s="23">
        <f t="shared" si="91"/>
        <v>763</v>
      </c>
    </row>
    <row r="201" spans="2:51" x14ac:dyDescent="0.6">
      <c r="B201" s="69" t="s">
        <v>111</v>
      </c>
      <c r="C201" s="173">
        <v>0</v>
      </c>
      <c r="D201" s="173">
        <v>17.2</v>
      </c>
      <c r="E201" s="173">
        <v>10.7</v>
      </c>
      <c r="F201" s="173">
        <v>6.4260000000000002</v>
      </c>
      <c r="G201" s="173">
        <v>18</v>
      </c>
      <c r="H201" s="173">
        <v>30</v>
      </c>
      <c r="I201" s="953">
        <f t="shared" ref="I201:O201" si="92">H201</f>
        <v>30</v>
      </c>
      <c r="J201" s="953">
        <f t="shared" si="92"/>
        <v>30</v>
      </c>
      <c r="K201" s="953">
        <f t="shared" si="92"/>
        <v>30</v>
      </c>
      <c r="L201" s="953">
        <f t="shared" si="92"/>
        <v>30</v>
      </c>
      <c r="M201" s="953">
        <f t="shared" si="92"/>
        <v>30</v>
      </c>
      <c r="N201" s="953">
        <f t="shared" si="92"/>
        <v>30</v>
      </c>
      <c r="O201" s="953">
        <f t="shared" si="92"/>
        <v>30</v>
      </c>
    </row>
    <row r="202" spans="2:51" x14ac:dyDescent="0.6">
      <c r="B202" s="69" t="s">
        <v>112</v>
      </c>
      <c r="C202" s="173">
        <v>6.7</v>
      </c>
      <c r="D202" s="173">
        <v>8.6999999999999993</v>
      </c>
      <c r="E202" s="173">
        <v>9.9</v>
      </c>
      <c r="F202" s="173">
        <v>14.109</v>
      </c>
      <c r="G202" s="173">
        <v>27</v>
      </c>
      <c r="H202" s="173">
        <v>39</v>
      </c>
      <c r="I202" s="953">
        <f t="shared" ref="I202:O204" si="93">H202</f>
        <v>39</v>
      </c>
      <c r="J202" s="953">
        <f t="shared" si="93"/>
        <v>39</v>
      </c>
      <c r="K202" s="953">
        <f t="shared" si="93"/>
        <v>39</v>
      </c>
      <c r="L202" s="953">
        <f t="shared" si="93"/>
        <v>39</v>
      </c>
      <c r="M202" s="953">
        <f t="shared" si="93"/>
        <v>39</v>
      </c>
      <c r="N202" s="953">
        <f t="shared" si="93"/>
        <v>39</v>
      </c>
      <c r="O202" s="953">
        <f t="shared" si="93"/>
        <v>39</v>
      </c>
    </row>
    <row r="203" spans="2:51" s="23" customFormat="1" ht="14.4" x14ac:dyDescent="0.55000000000000004">
      <c r="B203" s="69" t="s">
        <v>43</v>
      </c>
      <c r="C203" s="173">
        <v>0.5</v>
      </c>
      <c r="D203" s="173">
        <v>1.1000000000000001</v>
      </c>
      <c r="E203" s="173">
        <v>12.4</v>
      </c>
      <c r="F203" s="173">
        <v>72.337000000000003</v>
      </c>
      <c r="G203" s="173">
        <v>182</v>
      </c>
      <c r="H203" s="173">
        <v>296</v>
      </c>
      <c r="I203" s="953">
        <f t="shared" si="93"/>
        <v>296</v>
      </c>
      <c r="J203" s="953">
        <f t="shared" si="93"/>
        <v>296</v>
      </c>
      <c r="K203" s="953">
        <f t="shared" si="93"/>
        <v>296</v>
      </c>
      <c r="L203" s="953">
        <f t="shared" si="93"/>
        <v>296</v>
      </c>
      <c r="M203" s="953">
        <f t="shared" si="93"/>
        <v>296</v>
      </c>
      <c r="N203" s="953">
        <f t="shared" si="93"/>
        <v>296</v>
      </c>
      <c r="O203" s="953">
        <f t="shared" si="93"/>
        <v>296</v>
      </c>
    </row>
    <row r="204" spans="2:51" x14ac:dyDescent="0.6">
      <c r="B204" s="69" t="s">
        <v>113</v>
      </c>
      <c r="C204" s="173">
        <v>0</v>
      </c>
      <c r="D204" s="173">
        <v>0</v>
      </c>
      <c r="E204" s="173">
        <v>0.8</v>
      </c>
      <c r="F204" s="173">
        <v>401.87200000000001</v>
      </c>
      <c r="G204" s="173">
        <v>397</v>
      </c>
      <c r="H204" s="173">
        <v>398</v>
      </c>
      <c r="I204" s="953">
        <f t="shared" si="93"/>
        <v>398</v>
      </c>
      <c r="J204" s="953">
        <f t="shared" si="93"/>
        <v>398</v>
      </c>
      <c r="K204" s="953">
        <f t="shared" si="93"/>
        <v>398</v>
      </c>
      <c r="L204" s="953">
        <f t="shared" si="93"/>
        <v>398</v>
      </c>
      <c r="M204" s="953">
        <f t="shared" si="93"/>
        <v>398</v>
      </c>
      <c r="N204" s="953">
        <f t="shared" si="93"/>
        <v>398</v>
      </c>
      <c r="O204" s="953">
        <f t="shared" si="93"/>
        <v>398</v>
      </c>
    </row>
    <row r="205" spans="2:51" s="54" customFormat="1" ht="14.7" thickBot="1" x14ac:dyDescent="0.6">
      <c r="B205" s="52" t="s">
        <v>45</v>
      </c>
      <c r="C205" s="54">
        <f>C206+C224</f>
        <v>2785.8</v>
      </c>
      <c r="D205" s="54">
        <f t="shared" ref="D205:O205" si="94">D206+D224</f>
        <v>6760.0999999999985</v>
      </c>
      <c r="E205" s="54">
        <f t="shared" si="94"/>
        <v>10154.299999999999</v>
      </c>
      <c r="F205" s="54">
        <f>F206+F224</f>
        <v>19858.680999999997</v>
      </c>
      <c r="G205" s="54">
        <f t="shared" si="94"/>
        <v>29914.082999999999</v>
      </c>
      <c r="H205" s="54">
        <f t="shared" si="94"/>
        <v>43343.084000000003</v>
      </c>
      <c r="I205" s="54">
        <f t="shared" ca="1" si="94"/>
        <v>47128.607413226171</v>
      </c>
      <c r="J205" s="54">
        <f t="shared" ca="1" si="94"/>
        <v>60526.593966241264</v>
      </c>
      <c r="K205" s="54">
        <f t="shared" ca="1" si="94"/>
        <v>73477.300741526968</v>
      </c>
      <c r="L205" s="54">
        <f t="shared" ca="1" si="94"/>
        <v>85075.845719416771</v>
      </c>
      <c r="M205" s="54">
        <f t="shared" ca="1" si="94"/>
        <v>97283.454970582738</v>
      </c>
      <c r="N205" s="54">
        <f t="shared" ca="1" si="94"/>
        <v>109595.52800134871</v>
      </c>
      <c r="O205" s="54">
        <f t="shared" ca="1" si="94"/>
        <v>122816.01977699783</v>
      </c>
    </row>
    <row r="206" spans="2:51" s="23" customFormat="1" ht="14.4" x14ac:dyDescent="0.55000000000000004">
      <c r="B206" s="55" t="s">
        <v>46</v>
      </c>
      <c r="C206" s="23">
        <f>C207+C211+C217+C218+C219+C220+C221+C222+C223</f>
        <v>2489.1000000000004</v>
      </c>
      <c r="D206" s="23">
        <f t="shared" ref="D206:O206" si="95">D207+D211+D217+D218+D219+D220+D221+D222+D223</f>
        <v>6147.8999999999987</v>
      </c>
      <c r="E206" s="23">
        <f t="shared" si="95"/>
        <v>9716.1999999999989</v>
      </c>
      <c r="F206" s="23">
        <f t="shared" si="95"/>
        <v>15416.139999999998</v>
      </c>
      <c r="G206" s="23">
        <f t="shared" si="95"/>
        <v>25024</v>
      </c>
      <c r="H206" s="23">
        <f t="shared" si="95"/>
        <v>36938</v>
      </c>
      <c r="I206" s="23">
        <f t="shared" ca="1" si="95"/>
        <v>38782.203857791974</v>
      </c>
      <c r="J206" s="23">
        <f t="shared" ca="1" si="95"/>
        <v>49360.847669742972</v>
      </c>
      <c r="K206" s="23">
        <f t="shared" ca="1" si="95"/>
        <v>58548.133398079139</v>
      </c>
      <c r="L206" s="23">
        <f t="shared" ca="1" si="95"/>
        <v>68701.283959982</v>
      </c>
      <c r="M206" s="23">
        <f t="shared" ca="1" si="95"/>
        <v>79195.701049592288</v>
      </c>
      <c r="N206" s="23">
        <f t="shared" ca="1" si="95"/>
        <v>89570.344900679847</v>
      </c>
      <c r="O206" s="23">
        <f t="shared" ca="1" si="95"/>
        <v>100505.64157780474</v>
      </c>
    </row>
    <row r="207" spans="2:51" s="23" customFormat="1" ht="14.4" x14ac:dyDescent="0.55000000000000004">
      <c r="B207" s="60" t="s">
        <v>114</v>
      </c>
      <c r="C207" s="23">
        <f>C208+C209</f>
        <v>0</v>
      </c>
      <c r="D207" s="23">
        <f>D208+D209</f>
        <v>24.1</v>
      </c>
      <c r="E207" s="23">
        <f>E208+E209</f>
        <v>90.8</v>
      </c>
      <c r="F207" s="23">
        <f>F208+F209+F210</f>
        <v>102.38000000000001</v>
      </c>
      <c r="G207" s="23">
        <f t="shared" ref="G207:O207" si="96">G208+G209+G210</f>
        <v>218</v>
      </c>
      <c r="H207" s="23">
        <f t="shared" si="96"/>
        <v>242</v>
      </c>
      <c r="I207" s="23">
        <f t="shared" si="96"/>
        <v>242</v>
      </c>
      <c r="J207" s="23">
        <f t="shared" si="96"/>
        <v>242</v>
      </c>
      <c r="K207" s="23">
        <f t="shared" si="96"/>
        <v>242</v>
      </c>
      <c r="L207" s="23">
        <f t="shared" si="96"/>
        <v>242</v>
      </c>
      <c r="M207" s="23">
        <f t="shared" si="96"/>
        <v>242</v>
      </c>
      <c r="N207" s="23">
        <f t="shared" si="96"/>
        <v>242</v>
      </c>
      <c r="O207" s="23">
        <f t="shared" si="96"/>
        <v>242</v>
      </c>
    </row>
    <row r="208" spans="2:51" customFormat="1" x14ac:dyDescent="0.6">
      <c r="B208" s="61" t="s">
        <v>42</v>
      </c>
      <c r="C208" s="173">
        <v>0</v>
      </c>
      <c r="D208" s="173">
        <v>2</v>
      </c>
      <c r="E208" s="173">
        <v>75.3</v>
      </c>
      <c r="F208" s="173">
        <v>87.278000000000006</v>
      </c>
      <c r="G208" s="173">
        <v>9</v>
      </c>
      <c r="H208" s="173">
        <v>28</v>
      </c>
      <c r="I208" s="953">
        <f t="shared" ref="I208:O208" si="97">H208</f>
        <v>28</v>
      </c>
      <c r="J208" s="953">
        <f t="shared" si="97"/>
        <v>28</v>
      </c>
      <c r="K208" s="953">
        <f t="shared" si="97"/>
        <v>28</v>
      </c>
      <c r="L208" s="953">
        <f t="shared" si="97"/>
        <v>28</v>
      </c>
      <c r="M208" s="953">
        <f t="shared" si="97"/>
        <v>28</v>
      </c>
      <c r="N208" s="953">
        <f t="shared" si="97"/>
        <v>28</v>
      </c>
      <c r="O208" s="953">
        <f t="shared" si="97"/>
        <v>28</v>
      </c>
      <c r="P208" s="43"/>
      <c r="Q208" s="43"/>
      <c r="R208" s="43"/>
      <c r="S208" s="43"/>
      <c r="AY208" s="43"/>
    </row>
    <row r="209" spans="2:51" customFormat="1" x14ac:dyDescent="0.6">
      <c r="B209" s="61" t="s">
        <v>115</v>
      </c>
      <c r="C209" s="173">
        <v>0</v>
      </c>
      <c r="D209" s="173">
        <v>22.1</v>
      </c>
      <c r="E209" s="173">
        <v>15.5</v>
      </c>
      <c r="F209" s="173">
        <v>12.055999999999999</v>
      </c>
      <c r="G209" s="173">
        <v>12</v>
      </c>
      <c r="H209" s="173">
        <v>4</v>
      </c>
      <c r="I209" s="953">
        <f t="shared" ref="I209:O209" si="98">H209</f>
        <v>4</v>
      </c>
      <c r="J209" s="953">
        <f t="shared" si="98"/>
        <v>4</v>
      </c>
      <c r="K209" s="953">
        <f t="shared" si="98"/>
        <v>4</v>
      </c>
      <c r="L209" s="953">
        <f t="shared" si="98"/>
        <v>4</v>
      </c>
      <c r="M209" s="953">
        <f t="shared" si="98"/>
        <v>4</v>
      </c>
      <c r="N209" s="953">
        <f t="shared" si="98"/>
        <v>4</v>
      </c>
      <c r="O209" s="953">
        <f t="shared" si="98"/>
        <v>4</v>
      </c>
      <c r="P209" s="43"/>
      <c r="Q209" s="43"/>
      <c r="R209" s="43"/>
      <c r="S209" s="43"/>
      <c r="AY209" s="43"/>
    </row>
    <row r="210" spans="2:51" customFormat="1" x14ac:dyDescent="0.6">
      <c r="B210" s="61" t="s">
        <v>716</v>
      </c>
      <c r="C210" s="173">
        <v>0</v>
      </c>
      <c r="D210" s="173">
        <v>0</v>
      </c>
      <c r="E210" s="173">
        <v>0</v>
      </c>
      <c r="F210" s="173">
        <v>3.0459999999999998</v>
      </c>
      <c r="G210" s="173">
        <v>197</v>
      </c>
      <c r="H210" s="173">
        <v>210</v>
      </c>
      <c r="I210" s="953">
        <f t="shared" ref="I210:O210" si="99">H210</f>
        <v>210</v>
      </c>
      <c r="J210" s="953">
        <f t="shared" si="99"/>
        <v>210</v>
      </c>
      <c r="K210" s="953">
        <f t="shared" si="99"/>
        <v>210</v>
      </c>
      <c r="L210" s="953">
        <f t="shared" si="99"/>
        <v>210</v>
      </c>
      <c r="M210" s="953">
        <f t="shared" si="99"/>
        <v>210</v>
      </c>
      <c r="N210" s="953">
        <f t="shared" si="99"/>
        <v>210</v>
      </c>
      <c r="O210" s="953">
        <f t="shared" si="99"/>
        <v>210</v>
      </c>
      <c r="P210" s="43"/>
      <c r="Q210" s="43"/>
      <c r="R210" s="43"/>
      <c r="S210" s="43"/>
      <c r="AY210" s="43"/>
    </row>
    <row r="211" spans="2:51" customFormat="1" x14ac:dyDescent="0.6">
      <c r="B211" s="60" t="s">
        <v>116</v>
      </c>
      <c r="C211" s="23">
        <f>C212+C213+C214+C215+C216</f>
        <v>2420</v>
      </c>
      <c r="D211" s="23">
        <f t="shared" ref="D211:O211" si="100">D212+D213+D214+D215+D216</f>
        <v>5972.9999999999991</v>
      </c>
      <c r="E211" s="23">
        <f>E212+E213+E214+E215+E216</f>
        <v>9421.8000000000011</v>
      </c>
      <c r="F211" s="23">
        <f t="shared" si="100"/>
        <v>14706.713</v>
      </c>
      <c r="G211" s="23">
        <f t="shared" si="100"/>
        <v>23447</v>
      </c>
      <c r="H211" s="23">
        <f t="shared" si="100"/>
        <v>34583</v>
      </c>
      <c r="I211" s="23">
        <f t="shared" ca="1" si="100"/>
        <v>36427.203857791974</v>
      </c>
      <c r="J211" s="23">
        <f t="shared" ca="1" si="100"/>
        <v>47005.847669742972</v>
      </c>
      <c r="K211" s="23">
        <f t="shared" ca="1" si="100"/>
        <v>56193.133398079139</v>
      </c>
      <c r="L211" s="23">
        <f t="shared" ca="1" si="100"/>
        <v>66346.283959982</v>
      </c>
      <c r="M211" s="23">
        <f t="shared" ca="1" si="100"/>
        <v>76840.701049592288</v>
      </c>
      <c r="N211" s="23">
        <f t="shared" ca="1" si="100"/>
        <v>87215.344900679847</v>
      </c>
      <c r="O211" s="23">
        <f t="shared" ca="1" si="100"/>
        <v>98150.641577804738</v>
      </c>
      <c r="P211" s="43"/>
      <c r="Q211" s="43"/>
      <c r="R211" s="43"/>
      <c r="S211" s="43"/>
      <c r="AY211" s="43"/>
    </row>
    <row r="212" spans="2:51" customFormat="1" x14ac:dyDescent="0.6">
      <c r="B212" s="61" t="s">
        <v>47</v>
      </c>
      <c r="C212" s="173">
        <v>628.70000000000005</v>
      </c>
      <c r="D212" s="173">
        <v>2693.2</v>
      </c>
      <c r="E212" s="173">
        <v>5584.9</v>
      </c>
      <c r="F212" s="173">
        <v>9667.2999999999993</v>
      </c>
      <c r="G212" s="173">
        <v>15808</v>
      </c>
      <c r="H212" s="173">
        <v>23691</v>
      </c>
      <c r="I212" s="953">
        <f>'BS Estimates'!I3</f>
        <v>30085.70785426574</v>
      </c>
      <c r="J212" s="953">
        <f>'BS Estimates'!J3</f>
        <v>39152.93976490909</v>
      </c>
      <c r="K212" s="953">
        <f>'BS Estimates'!K3</f>
        <v>47027.602321753846</v>
      </c>
      <c r="L212" s="953">
        <f>'BS Estimates'!L3</f>
        <v>55730.132854490774</v>
      </c>
      <c r="M212" s="953">
        <f>'BS Estimates'!M3</f>
        <v>64725.171841531403</v>
      </c>
      <c r="N212" s="953">
        <f>'BS Estimates'!N3</f>
        <v>73617.550057524291</v>
      </c>
      <c r="O212" s="953">
        <f>'BS Estimates'!O3</f>
        <v>82990.478454183525</v>
      </c>
      <c r="P212" s="43"/>
      <c r="Q212" s="43"/>
      <c r="R212" s="43"/>
      <c r="S212" s="43"/>
      <c r="AY212" s="43"/>
    </row>
    <row r="213" spans="2:51" customFormat="1" x14ac:dyDescent="0.6">
      <c r="B213" s="61" t="s">
        <v>117</v>
      </c>
      <c r="C213" s="173">
        <v>1675.9</v>
      </c>
      <c r="D213" s="173">
        <v>2976.5</v>
      </c>
      <c r="E213" s="173">
        <v>3331.3</v>
      </c>
      <c r="F213" s="173">
        <v>4882.1589999999997</v>
      </c>
      <c r="G213" s="173">
        <v>7054</v>
      </c>
      <c r="H213" s="173">
        <v>9755</v>
      </c>
      <c r="I213" s="953">
        <f ca="1">'BS Estimates'!I14</f>
        <v>5204.4960035262347</v>
      </c>
      <c r="J213" s="953">
        <f ca="1">'BS Estimates'!J14</f>
        <v>6715.907904833879</v>
      </c>
      <c r="K213" s="953">
        <f ca="1">'BS Estimates'!K14</f>
        <v>8028.5310763252928</v>
      </c>
      <c r="L213" s="953">
        <f ca="1">'BS Estimates'!L14</f>
        <v>9479.1511054912262</v>
      </c>
      <c r="M213" s="953">
        <f ca="1">'BS Estimates'!M14</f>
        <v>10978.529208060882</v>
      </c>
      <c r="N213" s="953">
        <f ca="1">'BS Estimates'!N14</f>
        <v>12460.794843155558</v>
      </c>
      <c r="O213" s="953">
        <f ca="1">'BS Estimates'!O14</f>
        <v>14023.163123621209</v>
      </c>
      <c r="P213" s="124"/>
      <c r="Q213" s="166"/>
      <c r="R213" s="43"/>
      <c r="S213" s="43"/>
      <c r="AY213" s="43"/>
    </row>
    <row r="214" spans="2:51" customFormat="1" x14ac:dyDescent="0.6">
      <c r="B214" s="61" t="s">
        <v>118</v>
      </c>
      <c r="C214" s="173">
        <v>50.7</v>
      </c>
      <c r="D214" s="173">
        <v>133.4</v>
      </c>
      <c r="E214" s="173">
        <v>97.5</v>
      </c>
      <c r="F214" s="173">
        <v>147.24299999999999</v>
      </c>
      <c r="G214" s="173">
        <v>585</v>
      </c>
      <c r="H214" s="173">
        <v>1137</v>
      </c>
      <c r="I214" s="953">
        <f t="shared" ref="I214:O214" si="101">H214</f>
        <v>1137</v>
      </c>
      <c r="J214" s="953">
        <f t="shared" si="101"/>
        <v>1137</v>
      </c>
      <c r="K214" s="953">
        <f t="shared" si="101"/>
        <v>1137</v>
      </c>
      <c r="L214" s="953">
        <f t="shared" si="101"/>
        <v>1137</v>
      </c>
      <c r="M214" s="953">
        <f t="shared" si="101"/>
        <v>1137</v>
      </c>
      <c r="N214" s="953">
        <f t="shared" si="101"/>
        <v>1137</v>
      </c>
      <c r="O214" s="953">
        <f t="shared" si="101"/>
        <v>1137</v>
      </c>
      <c r="P214" s="43"/>
      <c r="Q214" s="43"/>
      <c r="R214" s="43"/>
      <c r="S214" s="43"/>
      <c r="AY214" s="43"/>
    </row>
    <row r="215" spans="2:51" ht="14.4" x14ac:dyDescent="0.55000000000000004">
      <c r="B215" s="61" t="s">
        <v>119</v>
      </c>
      <c r="C215" s="173">
        <v>64.7</v>
      </c>
      <c r="D215" s="173">
        <v>169.9</v>
      </c>
      <c r="E215" s="173">
        <v>79.7</v>
      </c>
      <c r="F215" s="173">
        <v>10.010999999999999</v>
      </c>
      <c r="G215" s="173">
        <v>0</v>
      </c>
      <c r="H215" s="173">
        <v>0</v>
      </c>
      <c r="I215" s="953">
        <f t="shared" ref="I215:O216" si="102">H215</f>
        <v>0</v>
      </c>
      <c r="J215" s="953">
        <f t="shared" si="102"/>
        <v>0</v>
      </c>
      <c r="K215" s="953">
        <f t="shared" si="102"/>
        <v>0</v>
      </c>
      <c r="L215" s="953">
        <f t="shared" si="102"/>
        <v>0</v>
      </c>
      <c r="M215" s="953">
        <f t="shared" si="102"/>
        <v>0</v>
      </c>
      <c r="N215" s="953">
        <f t="shared" si="102"/>
        <v>0</v>
      </c>
      <c r="O215" s="953">
        <f t="shared" si="102"/>
        <v>0</v>
      </c>
      <c r="T215" s="43"/>
      <c r="U215" s="43"/>
      <c r="V215" s="43"/>
      <c r="W215" s="43"/>
      <c r="X215" s="43"/>
      <c r="Y215" s="43"/>
      <c r="Z215" s="43"/>
      <c r="AA215" s="43"/>
      <c r="AB215" s="43"/>
      <c r="AC215" s="43"/>
      <c r="AD215" s="43"/>
      <c r="AE215" s="43"/>
      <c r="AF215" s="43"/>
      <c r="AG215" s="43"/>
      <c r="AH215" s="43"/>
      <c r="AI215" s="43"/>
      <c r="AJ215" s="43"/>
      <c r="AK215" s="43"/>
      <c r="AL215" s="43"/>
      <c r="AM215" s="43"/>
      <c r="AN215" s="43"/>
      <c r="AO215" s="43"/>
      <c r="AP215" s="43"/>
      <c r="AQ215" s="43"/>
      <c r="AR215" s="43"/>
      <c r="AS215" s="43"/>
      <c r="AT215" s="43"/>
      <c r="AU215" s="43"/>
      <c r="AV215" s="43"/>
      <c r="AW215" s="43"/>
      <c r="AX215" s="43"/>
    </row>
    <row r="216" spans="2:51" customFormat="1" x14ac:dyDescent="0.6">
      <c r="B216" s="61" t="s">
        <v>120</v>
      </c>
      <c r="C216" s="173">
        <v>0</v>
      </c>
      <c r="D216" s="173">
        <v>0</v>
      </c>
      <c r="E216" s="173">
        <v>328.4</v>
      </c>
      <c r="F216" s="173">
        <v>0</v>
      </c>
      <c r="G216" s="173">
        <v>0</v>
      </c>
      <c r="H216" s="173">
        <v>0</v>
      </c>
      <c r="I216" s="953">
        <f t="shared" si="102"/>
        <v>0</v>
      </c>
      <c r="J216" s="953">
        <f t="shared" si="102"/>
        <v>0</v>
      </c>
      <c r="K216" s="953">
        <f t="shared" si="102"/>
        <v>0</v>
      </c>
      <c r="L216" s="953">
        <f t="shared" si="102"/>
        <v>0</v>
      </c>
      <c r="M216" s="953">
        <f t="shared" si="102"/>
        <v>0</v>
      </c>
      <c r="N216" s="953">
        <f t="shared" si="102"/>
        <v>0</v>
      </c>
      <c r="O216" s="953">
        <f t="shared" si="102"/>
        <v>0</v>
      </c>
      <c r="P216" s="43"/>
      <c r="Q216" s="43"/>
      <c r="R216" s="43"/>
      <c r="S216" s="43"/>
      <c r="AY216" s="43"/>
    </row>
    <row r="217" spans="2:51" ht="14.4" x14ac:dyDescent="0.55000000000000004">
      <c r="B217" s="67" t="s">
        <v>121</v>
      </c>
      <c r="C217" s="173">
        <v>5.5</v>
      </c>
      <c r="D217" s="173">
        <v>11.2</v>
      </c>
      <c r="E217" s="173">
        <v>25.8</v>
      </c>
      <c r="F217" s="173">
        <v>97.909000000000006</v>
      </c>
      <c r="G217" s="173">
        <v>91</v>
      </c>
      <c r="H217" s="173">
        <v>167</v>
      </c>
      <c r="I217" s="953">
        <f t="shared" ref="I217:O217" si="103">H217</f>
        <v>167</v>
      </c>
      <c r="J217" s="953">
        <f t="shared" si="103"/>
        <v>167</v>
      </c>
      <c r="K217" s="953">
        <f t="shared" si="103"/>
        <v>167</v>
      </c>
      <c r="L217" s="953">
        <f t="shared" si="103"/>
        <v>167</v>
      </c>
      <c r="M217" s="953">
        <f t="shared" si="103"/>
        <v>167</v>
      </c>
      <c r="N217" s="953">
        <f t="shared" si="103"/>
        <v>167</v>
      </c>
      <c r="O217" s="953">
        <f t="shared" si="103"/>
        <v>167</v>
      </c>
      <c r="T217" s="43"/>
      <c r="U217" s="43"/>
      <c r="V217" s="43"/>
      <c r="W217" s="43"/>
      <c r="X217" s="43"/>
      <c r="Y217" s="43"/>
      <c r="Z217" s="43"/>
      <c r="AA217" s="43"/>
      <c r="AB217" s="43"/>
      <c r="AC217" s="43"/>
      <c r="AD217" s="43"/>
      <c r="AE217" s="43"/>
      <c r="AF217" s="43"/>
      <c r="AG217" s="43"/>
      <c r="AH217" s="43"/>
      <c r="AI217" s="43"/>
      <c r="AJ217" s="43"/>
      <c r="AK217" s="43"/>
      <c r="AL217" s="43"/>
      <c r="AM217" s="43"/>
      <c r="AN217" s="43"/>
      <c r="AO217" s="43"/>
      <c r="AP217" s="43"/>
      <c r="AQ217" s="43"/>
      <c r="AR217" s="43"/>
      <c r="AS217" s="43"/>
      <c r="AT217" s="43"/>
      <c r="AU217" s="43"/>
      <c r="AV217" s="43"/>
      <c r="AW217" s="43"/>
      <c r="AX217" s="43"/>
    </row>
    <row r="218" spans="2:51" s="23" customFormat="1" ht="14.4" x14ac:dyDescent="0.55000000000000004">
      <c r="B218" s="67" t="s">
        <v>122</v>
      </c>
      <c r="C218" s="173">
        <v>17.100000000000001</v>
      </c>
      <c r="D218" s="173">
        <v>12.4</v>
      </c>
      <c r="E218" s="173">
        <v>30.8</v>
      </c>
      <c r="F218" s="173">
        <v>241.197</v>
      </c>
      <c r="G218" s="173">
        <v>511</v>
      </c>
      <c r="H218" s="173">
        <v>1301</v>
      </c>
      <c r="I218" s="953">
        <f t="shared" ref="I218:O223" si="104">H218</f>
        <v>1301</v>
      </c>
      <c r="J218" s="953">
        <f t="shared" si="104"/>
        <v>1301</v>
      </c>
      <c r="K218" s="953">
        <f t="shared" si="104"/>
        <v>1301</v>
      </c>
      <c r="L218" s="953">
        <f t="shared" si="104"/>
        <v>1301</v>
      </c>
      <c r="M218" s="953">
        <f t="shared" si="104"/>
        <v>1301</v>
      </c>
      <c r="N218" s="953">
        <f t="shared" si="104"/>
        <v>1301</v>
      </c>
      <c r="O218" s="953">
        <f t="shared" si="104"/>
        <v>1301</v>
      </c>
    </row>
    <row r="219" spans="2:51" customFormat="1" x14ac:dyDescent="0.6">
      <c r="B219" s="67" t="s">
        <v>123</v>
      </c>
      <c r="C219" s="173">
        <v>0</v>
      </c>
      <c r="D219" s="173">
        <v>18.7</v>
      </c>
      <c r="E219" s="173">
        <v>12</v>
      </c>
      <c r="F219" s="173">
        <v>7.6210000000000004</v>
      </c>
      <c r="G219" s="173">
        <v>20</v>
      </c>
      <c r="H219" s="173">
        <v>37</v>
      </c>
      <c r="I219" s="953">
        <f t="shared" si="104"/>
        <v>37</v>
      </c>
      <c r="J219" s="953">
        <f t="shared" si="104"/>
        <v>37</v>
      </c>
      <c r="K219" s="953">
        <f t="shared" si="104"/>
        <v>37</v>
      </c>
      <c r="L219" s="953">
        <f t="shared" si="104"/>
        <v>37</v>
      </c>
      <c r="M219" s="953">
        <f t="shared" si="104"/>
        <v>37</v>
      </c>
      <c r="N219" s="953">
        <f t="shared" si="104"/>
        <v>37</v>
      </c>
      <c r="O219" s="953">
        <f t="shared" si="104"/>
        <v>37</v>
      </c>
      <c r="P219" s="43"/>
      <c r="Q219" s="43"/>
      <c r="R219" s="43"/>
      <c r="S219" s="43"/>
      <c r="AY219" s="43"/>
    </row>
    <row r="220" spans="2:51" customFormat="1" x14ac:dyDescent="0.6">
      <c r="B220" s="67" t="s">
        <v>124</v>
      </c>
      <c r="C220" s="173">
        <v>14.3</v>
      </c>
      <c r="D220" s="173">
        <v>21</v>
      </c>
      <c r="E220" s="173">
        <v>16.5</v>
      </c>
      <c r="F220" s="173">
        <v>18.082000000000001</v>
      </c>
      <c r="G220" s="173">
        <v>18</v>
      </c>
      <c r="H220" s="173">
        <v>8</v>
      </c>
      <c r="I220" s="953">
        <f t="shared" si="104"/>
        <v>8</v>
      </c>
      <c r="J220" s="953">
        <f t="shared" si="104"/>
        <v>8</v>
      </c>
      <c r="K220" s="953">
        <f t="shared" si="104"/>
        <v>8</v>
      </c>
      <c r="L220" s="953">
        <f t="shared" si="104"/>
        <v>8</v>
      </c>
      <c r="M220" s="953">
        <f t="shared" si="104"/>
        <v>8</v>
      </c>
      <c r="N220" s="953">
        <f t="shared" si="104"/>
        <v>8</v>
      </c>
      <c r="O220" s="953">
        <f t="shared" si="104"/>
        <v>8</v>
      </c>
      <c r="P220" s="43"/>
      <c r="Q220" s="43"/>
      <c r="R220" s="43"/>
      <c r="S220" s="43"/>
      <c r="AY220" s="43"/>
    </row>
    <row r="221" spans="2:51" ht="14.4" x14ac:dyDescent="0.55000000000000004">
      <c r="B221" s="67" t="s">
        <v>125</v>
      </c>
      <c r="C221" s="173">
        <v>10.8</v>
      </c>
      <c r="D221" s="173">
        <v>21.2</v>
      </c>
      <c r="E221" s="173">
        <v>26</v>
      </c>
      <c r="F221" s="173">
        <v>30.657</v>
      </c>
      <c r="G221" s="173">
        <v>42</v>
      </c>
      <c r="H221" s="173">
        <v>68</v>
      </c>
      <c r="I221" s="953">
        <f t="shared" si="104"/>
        <v>68</v>
      </c>
      <c r="J221" s="953">
        <f t="shared" si="104"/>
        <v>68</v>
      </c>
      <c r="K221" s="953">
        <f t="shared" si="104"/>
        <v>68</v>
      </c>
      <c r="L221" s="953">
        <f t="shared" si="104"/>
        <v>68</v>
      </c>
      <c r="M221" s="953">
        <f t="shared" si="104"/>
        <v>68</v>
      </c>
      <c r="N221" s="953">
        <f t="shared" si="104"/>
        <v>68</v>
      </c>
      <c r="O221" s="953">
        <f t="shared" si="104"/>
        <v>68</v>
      </c>
      <c r="T221" s="43"/>
      <c r="U221" s="43"/>
      <c r="V221" s="43"/>
      <c r="W221" s="43"/>
      <c r="X221" s="43"/>
      <c r="Y221" s="43"/>
      <c r="Z221" s="43"/>
      <c r="AA221" s="43"/>
      <c r="AB221" s="43"/>
      <c r="AC221" s="43"/>
      <c r="AD221" s="43"/>
      <c r="AE221" s="43"/>
      <c r="AF221" s="43"/>
      <c r="AG221" s="43"/>
      <c r="AH221" s="43"/>
      <c r="AI221" s="43"/>
      <c r="AJ221" s="43"/>
      <c r="AK221" s="43"/>
      <c r="AL221" s="43"/>
      <c r="AM221" s="43"/>
      <c r="AN221" s="43"/>
      <c r="AO221" s="43"/>
      <c r="AP221" s="43"/>
      <c r="AQ221" s="43"/>
      <c r="AR221" s="43"/>
      <c r="AS221" s="43"/>
      <c r="AT221" s="43"/>
      <c r="AU221" s="43"/>
      <c r="AV221" s="43"/>
      <c r="AW221" s="43"/>
      <c r="AX221" s="43"/>
    </row>
    <row r="222" spans="2:51" s="23" customFormat="1" ht="14.4" x14ac:dyDescent="0.55000000000000004">
      <c r="B222" s="67" t="s">
        <v>126</v>
      </c>
      <c r="C222" s="173">
        <v>0</v>
      </c>
      <c r="D222" s="173">
        <v>0.7</v>
      </c>
      <c r="E222" s="173">
        <v>8.6999999999999993</v>
      </c>
      <c r="F222" s="173">
        <v>29.334</v>
      </c>
      <c r="G222" s="173">
        <v>41</v>
      </c>
      <c r="H222" s="173">
        <v>0</v>
      </c>
      <c r="I222" s="953">
        <f t="shared" si="104"/>
        <v>0</v>
      </c>
      <c r="J222" s="953">
        <f t="shared" si="104"/>
        <v>0</v>
      </c>
      <c r="K222" s="953">
        <f t="shared" si="104"/>
        <v>0</v>
      </c>
      <c r="L222" s="953">
        <f t="shared" si="104"/>
        <v>0</v>
      </c>
      <c r="M222" s="953">
        <f t="shared" si="104"/>
        <v>0</v>
      </c>
      <c r="N222" s="953">
        <f t="shared" si="104"/>
        <v>0</v>
      </c>
      <c r="O222" s="953">
        <f t="shared" si="104"/>
        <v>0</v>
      </c>
    </row>
    <row r="223" spans="2:51" customFormat="1" x14ac:dyDescent="0.6">
      <c r="B223" s="67" t="s">
        <v>48</v>
      </c>
      <c r="C223" s="173">
        <v>21.4</v>
      </c>
      <c r="D223" s="173">
        <v>65.599999999999994</v>
      </c>
      <c r="E223" s="173">
        <v>83.8</v>
      </c>
      <c r="F223" s="173">
        <v>182.24700000000001</v>
      </c>
      <c r="G223" s="173">
        <v>636</v>
      </c>
      <c r="H223" s="173">
        <v>532</v>
      </c>
      <c r="I223" s="953">
        <f t="shared" si="104"/>
        <v>532</v>
      </c>
      <c r="J223" s="953">
        <f t="shared" si="104"/>
        <v>532</v>
      </c>
      <c r="K223" s="953">
        <f t="shared" si="104"/>
        <v>532</v>
      </c>
      <c r="L223" s="953">
        <f t="shared" si="104"/>
        <v>532</v>
      </c>
      <c r="M223" s="953">
        <f t="shared" si="104"/>
        <v>532</v>
      </c>
      <c r="N223" s="953">
        <f t="shared" si="104"/>
        <v>532</v>
      </c>
      <c r="O223" s="953">
        <f t="shared" si="104"/>
        <v>532</v>
      </c>
      <c r="P223" s="43"/>
      <c r="Q223" s="43"/>
      <c r="R223" s="43"/>
      <c r="S223" s="43"/>
      <c r="AY223" s="43"/>
    </row>
    <row r="224" spans="2:51" s="54" customFormat="1" ht="14.7" thickBot="1" x14ac:dyDescent="0.6">
      <c r="B224" s="68" t="s">
        <v>49</v>
      </c>
      <c r="C224" s="54">
        <f>C229+C230</f>
        <v>296.7</v>
      </c>
      <c r="D224" s="54">
        <f t="shared" ref="D224:O224" si="105">D229+D230</f>
        <v>612.20000000000005</v>
      </c>
      <c r="E224" s="54">
        <f>E229+E230</f>
        <v>438.1</v>
      </c>
      <c r="F224" s="54">
        <f>F229+F230</f>
        <v>4442.5409999999993</v>
      </c>
      <c r="G224" s="54">
        <f t="shared" si="105"/>
        <v>4890.0829999999996</v>
      </c>
      <c r="H224" s="54">
        <f t="shared" si="105"/>
        <v>6405.0839999999998</v>
      </c>
      <c r="I224" s="54">
        <f>I229+I230</f>
        <v>8346.403555434199</v>
      </c>
      <c r="J224" s="54">
        <f t="shared" si="105"/>
        <v>11165.74629649829</v>
      </c>
      <c r="K224" s="54">
        <f t="shared" si="105"/>
        <v>14929.167343447827</v>
      </c>
      <c r="L224" s="54">
        <f t="shared" si="105"/>
        <v>16374.561759434773</v>
      </c>
      <c r="M224" s="54">
        <f t="shared" si="105"/>
        <v>18087.753920990446</v>
      </c>
      <c r="N224" s="54">
        <f t="shared" si="105"/>
        <v>20025.183100668855</v>
      </c>
      <c r="O224" s="54">
        <f t="shared" si="105"/>
        <v>22310.378199193085</v>
      </c>
    </row>
    <row r="225" spans="2:51" s="23" customFormat="1" ht="14.4" x14ac:dyDescent="0.55000000000000004">
      <c r="B225" s="58" t="s">
        <v>50</v>
      </c>
      <c r="C225" s="173">
        <v>0</v>
      </c>
      <c r="D225" s="173">
        <v>0</v>
      </c>
      <c r="E225" s="173">
        <v>0</v>
      </c>
      <c r="F225" s="173">
        <v>8.3000000000000004E-2</v>
      </c>
      <c r="G225" s="173">
        <v>8.3000000000000004E-2</v>
      </c>
      <c r="H225" s="173">
        <v>8.4000000000000005E-2</v>
      </c>
      <c r="I225" s="953">
        <f t="shared" ref="I225:O225" si="106">H225</f>
        <v>8.4000000000000005E-2</v>
      </c>
      <c r="J225" s="953">
        <f t="shared" si="106"/>
        <v>8.4000000000000005E-2</v>
      </c>
      <c r="K225" s="953">
        <f t="shared" si="106"/>
        <v>8.4000000000000005E-2</v>
      </c>
      <c r="L225" s="953">
        <f t="shared" si="106"/>
        <v>8.4000000000000005E-2</v>
      </c>
      <c r="M225" s="953">
        <f t="shared" si="106"/>
        <v>8.4000000000000005E-2</v>
      </c>
      <c r="N225" s="953">
        <f t="shared" si="106"/>
        <v>8.4000000000000005E-2</v>
      </c>
      <c r="O225" s="953">
        <f t="shared" si="106"/>
        <v>8.4000000000000005E-2</v>
      </c>
    </row>
    <row r="226" spans="2:51" customFormat="1" x14ac:dyDescent="0.6">
      <c r="B226" s="58" t="s">
        <v>127</v>
      </c>
      <c r="C226" s="173">
        <v>389.4</v>
      </c>
      <c r="D226" s="173">
        <v>631.20000000000005</v>
      </c>
      <c r="E226" s="173">
        <v>638</v>
      </c>
      <c r="F226" s="173">
        <v>4678.585</v>
      </c>
      <c r="G226" s="173">
        <v>4963</v>
      </c>
      <c r="H226" s="173">
        <v>4973</v>
      </c>
      <c r="I226" s="953">
        <f>H226+I77+I62-I86</f>
        <v>6914.3195554341974</v>
      </c>
      <c r="J226" s="953">
        <f t="shared" ref="J226:O226" si="107">I226+J77+J62-J86</f>
        <v>9733.6622964982889</v>
      </c>
      <c r="K226" s="953">
        <f t="shared" si="107"/>
        <v>13497.083343447826</v>
      </c>
      <c r="L226" s="953">
        <f t="shared" si="107"/>
        <v>14942.477759434772</v>
      </c>
      <c r="M226" s="953">
        <f t="shared" si="107"/>
        <v>16655.669920990447</v>
      </c>
      <c r="N226" s="953">
        <f t="shared" si="107"/>
        <v>18593.099100668856</v>
      </c>
      <c r="O226" s="953">
        <f t="shared" si="107"/>
        <v>20878.294199193086</v>
      </c>
      <c r="P226" s="43"/>
      <c r="Q226" s="43"/>
      <c r="R226" s="43"/>
      <c r="S226" s="43"/>
      <c r="AY226" s="43"/>
    </row>
    <row r="227" spans="2:51" x14ac:dyDescent="0.6">
      <c r="B227" s="58" t="s">
        <v>128</v>
      </c>
      <c r="C227" s="173">
        <v>-58</v>
      </c>
      <c r="D227" s="173">
        <v>28.2</v>
      </c>
      <c r="E227" s="173">
        <v>-102.4</v>
      </c>
      <c r="F227" s="173">
        <v>-128.40899999999999</v>
      </c>
      <c r="G227" s="173">
        <v>65</v>
      </c>
      <c r="H227" s="173">
        <v>1276</v>
      </c>
      <c r="I227" s="953">
        <f t="shared" ref="I227:O227" si="108">H227</f>
        <v>1276</v>
      </c>
      <c r="J227" s="953">
        <f t="shared" si="108"/>
        <v>1276</v>
      </c>
      <c r="K227" s="953">
        <f t="shared" si="108"/>
        <v>1276</v>
      </c>
      <c r="L227" s="953">
        <f t="shared" si="108"/>
        <v>1276</v>
      </c>
      <c r="M227" s="953">
        <f t="shared" si="108"/>
        <v>1276</v>
      </c>
      <c r="N227" s="953">
        <f t="shared" si="108"/>
        <v>1276</v>
      </c>
      <c r="O227" s="953">
        <f t="shared" si="108"/>
        <v>1276</v>
      </c>
    </row>
    <row r="228" spans="2:51" ht="14.4" x14ac:dyDescent="0.55000000000000004">
      <c r="B228" s="58" t="s">
        <v>129</v>
      </c>
      <c r="C228" s="173">
        <v>-34.700000000000003</v>
      </c>
      <c r="D228" s="173">
        <v>-47.2</v>
      </c>
      <c r="E228" s="173">
        <v>-97.5</v>
      </c>
      <c r="F228" s="173">
        <v>-109.227</v>
      </c>
      <c r="G228" s="173">
        <v>-138</v>
      </c>
      <c r="H228" s="173">
        <v>156</v>
      </c>
      <c r="I228" s="953">
        <f t="shared" ref="I228:O228" si="109">H228</f>
        <v>156</v>
      </c>
      <c r="J228" s="953">
        <f t="shared" si="109"/>
        <v>156</v>
      </c>
      <c r="K228" s="953">
        <f t="shared" si="109"/>
        <v>156</v>
      </c>
      <c r="L228" s="953">
        <f t="shared" si="109"/>
        <v>156</v>
      </c>
      <c r="M228" s="953">
        <f t="shared" si="109"/>
        <v>156</v>
      </c>
      <c r="N228" s="953">
        <f t="shared" si="109"/>
        <v>156</v>
      </c>
      <c r="O228" s="953">
        <f t="shared" si="109"/>
        <v>156</v>
      </c>
      <c r="T228" s="43"/>
      <c r="U228" s="43"/>
      <c r="V228" s="43"/>
      <c r="W228" s="43"/>
      <c r="X228" s="43"/>
      <c r="Y228" s="43"/>
      <c r="Z228" s="43"/>
      <c r="AA228" s="43"/>
      <c r="AB228" s="43"/>
      <c r="AC228" s="43"/>
      <c r="AD228" s="43"/>
      <c r="AE228" s="43"/>
      <c r="AF228" s="43"/>
      <c r="AG228" s="43"/>
      <c r="AH228" s="43"/>
      <c r="AI228" s="43"/>
      <c r="AJ228" s="43"/>
      <c r="AK228" s="43"/>
      <c r="AL228" s="43"/>
      <c r="AM228" s="43"/>
      <c r="AN228" s="43"/>
      <c r="AO228" s="43"/>
      <c r="AP228" s="43"/>
      <c r="AQ228" s="43"/>
      <c r="AR228" s="43"/>
      <c r="AS228" s="43"/>
      <c r="AT228" s="43"/>
      <c r="AU228" s="43"/>
      <c r="AV228" s="43"/>
      <c r="AW228" s="43"/>
      <c r="AX228" s="43"/>
    </row>
    <row r="229" spans="2:51" x14ac:dyDescent="0.6">
      <c r="B229" s="57" t="s">
        <v>130</v>
      </c>
      <c r="C229" s="23">
        <f>C228+C227+C226+C225</f>
        <v>296.7</v>
      </c>
      <c r="D229" s="23">
        <f t="shared" ref="D229:O229" si="110">D228+D227+D226+D225</f>
        <v>612.20000000000005</v>
      </c>
      <c r="E229" s="23">
        <f>E228+E227+E226+E225</f>
        <v>438.1</v>
      </c>
      <c r="F229" s="23">
        <f t="shared" si="110"/>
        <v>4441.0319999999992</v>
      </c>
      <c r="G229" s="23">
        <f t="shared" si="110"/>
        <v>4890.0829999999996</v>
      </c>
      <c r="H229" s="23">
        <f t="shared" si="110"/>
        <v>6405.0839999999998</v>
      </c>
      <c r="I229" s="23">
        <f t="shared" si="110"/>
        <v>8346.403555434199</v>
      </c>
      <c r="J229" s="23">
        <f t="shared" si="110"/>
        <v>11165.74629649829</v>
      </c>
      <c r="K229" s="23">
        <f t="shared" si="110"/>
        <v>14929.167343447827</v>
      </c>
      <c r="L229" s="23">
        <f t="shared" si="110"/>
        <v>16374.561759434773</v>
      </c>
      <c r="M229" s="23">
        <f t="shared" si="110"/>
        <v>18087.753920990446</v>
      </c>
      <c r="N229" s="23">
        <f t="shared" si="110"/>
        <v>20025.183100668855</v>
      </c>
      <c r="O229" s="23">
        <f t="shared" si="110"/>
        <v>22310.378199193085</v>
      </c>
    </row>
    <row r="230" spans="2:51" x14ac:dyDescent="0.6">
      <c r="B230" s="58" t="s">
        <v>131</v>
      </c>
      <c r="C230" s="173">
        <v>0</v>
      </c>
      <c r="D230" s="173">
        <v>0</v>
      </c>
      <c r="E230" s="173">
        <v>0</v>
      </c>
      <c r="F230" s="173">
        <v>1.5089999999999999</v>
      </c>
      <c r="G230" s="173">
        <v>0</v>
      </c>
      <c r="H230" s="173">
        <v>0</v>
      </c>
      <c r="I230" s="953">
        <f t="shared" ref="I230:O230" si="111">H230</f>
        <v>0</v>
      </c>
      <c r="J230" s="953">
        <f t="shared" si="111"/>
        <v>0</v>
      </c>
      <c r="K230" s="953">
        <f t="shared" si="111"/>
        <v>0</v>
      </c>
      <c r="L230" s="953">
        <f t="shared" si="111"/>
        <v>0</v>
      </c>
      <c r="M230" s="953">
        <f t="shared" si="111"/>
        <v>0</v>
      </c>
      <c r="N230" s="953">
        <f t="shared" si="111"/>
        <v>0</v>
      </c>
      <c r="O230" s="953">
        <f t="shared" si="111"/>
        <v>0</v>
      </c>
    </row>
    <row r="231" spans="2:51" s="54" customFormat="1" ht="14.7" thickBot="1" x14ac:dyDescent="0.6">
      <c r="B231" s="65" t="s">
        <v>36</v>
      </c>
      <c r="C231" s="54">
        <f t="shared" ref="C231:O231" si="112">C181-C205</f>
        <v>0</v>
      </c>
      <c r="D231" s="54">
        <f t="shared" si="112"/>
        <v>-9.9999999999454303E-2</v>
      </c>
      <c r="E231" s="54">
        <f t="shared" si="112"/>
        <v>27.725581395350673</v>
      </c>
      <c r="F231" s="54">
        <f>F181-F205</f>
        <v>-2.4000000001251465E-2</v>
      </c>
      <c r="G231" s="54">
        <f t="shared" si="112"/>
        <v>-0.98300000000017462</v>
      </c>
      <c r="H231" s="54">
        <f>H181-H205</f>
        <v>-0.78399999999965075</v>
      </c>
      <c r="I231" s="54">
        <f t="shared" ca="1" si="112"/>
        <v>0</v>
      </c>
      <c r="J231" s="54">
        <f t="shared" ca="1" si="112"/>
        <v>0</v>
      </c>
      <c r="K231" s="54">
        <f t="shared" ca="1" si="112"/>
        <v>0</v>
      </c>
      <c r="L231" s="54">
        <f t="shared" ca="1" si="112"/>
        <v>0</v>
      </c>
      <c r="M231" s="54">
        <f t="shared" ca="1" si="112"/>
        <v>0</v>
      </c>
      <c r="N231" s="54">
        <f t="shared" ca="1" si="112"/>
        <v>0</v>
      </c>
      <c r="O231" s="54">
        <f t="shared" ca="1" si="112"/>
        <v>0</v>
      </c>
    </row>
  </sheetData>
  <conditionalFormatting sqref="C177:O177 C231:O231">
    <cfRule type="cellIs" dxfId="1" priority="1" operator="greaterThan">
      <formula>0.5</formula>
    </cfRule>
    <cfRule type="cellIs" dxfId="0" priority="2" operator="lessThan">
      <formula>0.5</formula>
    </cfRule>
  </conditionalFormatting>
  <pageMargins left="0.7" right="0.7" top="0.75" bottom="0.75" header="0.3" footer="0.3"/>
  <pageSetup orientation="portrait"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67D05-294A-4983-AA6C-AE46EE2C0744}">
  <dimension ref="A1:O16"/>
  <sheetViews>
    <sheetView showGridLines="0" zoomScale="80" zoomScaleNormal="80" workbookViewId="0">
      <selection activeCell="A4" sqref="A4:N13"/>
    </sheetView>
  </sheetViews>
  <sheetFormatPr defaultRowHeight="15.6" x14ac:dyDescent="0.6"/>
  <cols>
    <col min="1" max="1" width="68.69921875" bestFit="1" customWidth="1"/>
    <col min="4" max="4" width="9"/>
  </cols>
  <sheetData>
    <row r="1" spans="1:15" x14ac:dyDescent="0.6">
      <c r="A1" s="96" t="s">
        <v>135</v>
      </c>
      <c r="B1" s="17">
        <v>2018</v>
      </c>
      <c r="C1" s="17">
        <v>2019</v>
      </c>
      <c r="D1" s="17">
        <v>2020</v>
      </c>
      <c r="E1" s="18">
        <v>2021</v>
      </c>
      <c r="F1" s="18">
        <v>2022</v>
      </c>
      <c r="G1" s="18">
        <v>2023</v>
      </c>
      <c r="H1" s="18">
        <v>2024</v>
      </c>
      <c r="I1" s="18">
        <v>2025</v>
      </c>
      <c r="J1" s="18">
        <v>2026</v>
      </c>
      <c r="K1" s="18">
        <v>2027</v>
      </c>
      <c r="L1" s="18">
        <v>2028</v>
      </c>
      <c r="M1" s="18">
        <v>2029</v>
      </c>
      <c r="N1" s="18">
        <v>2030</v>
      </c>
    </row>
    <row r="2" spans="1:15" x14ac:dyDescent="0.6">
      <c r="A2" s="20" t="s">
        <v>136</v>
      </c>
      <c r="B2" s="21" t="s">
        <v>7</v>
      </c>
      <c r="C2" s="21" t="s">
        <v>7</v>
      </c>
      <c r="D2" s="21" t="s">
        <v>7</v>
      </c>
      <c r="E2" s="21" t="s">
        <v>178</v>
      </c>
      <c r="F2" s="21" t="s">
        <v>8</v>
      </c>
      <c r="G2" s="21" t="s">
        <v>8</v>
      </c>
      <c r="H2" s="21" t="s">
        <v>8</v>
      </c>
      <c r="I2" s="21" t="s">
        <v>8</v>
      </c>
      <c r="J2" s="21" t="s">
        <v>8</v>
      </c>
      <c r="K2" s="21" t="s">
        <v>8</v>
      </c>
      <c r="L2" s="21" t="s">
        <v>8</v>
      </c>
      <c r="M2" s="21" t="s">
        <v>8</v>
      </c>
      <c r="N2" s="21" t="s">
        <v>8</v>
      </c>
    </row>
    <row r="3" spans="1:15" x14ac:dyDescent="0.6">
      <c r="A3" s="20"/>
    </row>
    <row r="4" spans="1:15" x14ac:dyDescent="0.6">
      <c r="A4" t="s">
        <v>175</v>
      </c>
      <c r="B4" s="160">
        <f>Customers!V4</f>
        <v>6</v>
      </c>
      <c r="C4" s="160">
        <f>Customers!Z4</f>
        <v>20.100000000000001</v>
      </c>
      <c r="D4" s="160">
        <f>Customers!AD4</f>
        <v>33.299999999999997</v>
      </c>
      <c r="E4" s="160">
        <f>Customers!AH4</f>
        <v>53.9</v>
      </c>
      <c r="F4" s="165">
        <f>Customers!AL4</f>
        <v>0</v>
      </c>
      <c r="G4" s="165">
        <f>Customers!AP4</f>
        <v>0</v>
      </c>
      <c r="H4" s="165">
        <f t="shared" ref="H4:N4" si="0">G4*(1+I6)</f>
        <v>0</v>
      </c>
      <c r="I4" s="165">
        <f t="shared" si="0"/>
        <v>0</v>
      </c>
      <c r="J4" s="165">
        <f t="shared" si="0"/>
        <v>0</v>
      </c>
      <c r="K4" s="165">
        <f t="shared" si="0"/>
        <v>0</v>
      </c>
      <c r="L4" s="165">
        <f t="shared" si="0"/>
        <v>0</v>
      </c>
      <c r="M4" s="165">
        <f t="shared" si="0"/>
        <v>0</v>
      </c>
      <c r="N4" s="165">
        <f t="shared" si="0"/>
        <v>0</v>
      </c>
    </row>
    <row r="5" spans="1:15" x14ac:dyDescent="0.6">
      <c r="A5" s="167" t="s">
        <v>709</v>
      </c>
      <c r="B5" s="152">
        <v>6</v>
      </c>
      <c r="C5" s="152">
        <v>20.100000000000001</v>
      </c>
      <c r="D5" s="152">
        <v>33.299999999999997</v>
      </c>
      <c r="E5" s="152">
        <v>52.4</v>
      </c>
      <c r="F5" s="165"/>
      <c r="G5" s="165"/>
      <c r="H5" s="165"/>
      <c r="I5" s="165"/>
      <c r="J5" s="165"/>
      <c r="K5" s="165"/>
      <c r="L5" s="165"/>
      <c r="M5" s="165"/>
      <c r="N5" s="165"/>
      <c r="O5" s="165"/>
    </row>
    <row r="6" spans="1:15" x14ac:dyDescent="0.6">
      <c r="A6" s="167" t="s">
        <v>710</v>
      </c>
      <c r="B6" s="227"/>
      <c r="C6" s="157"/>
      <c r="D6" s="409"/>
      <c r="E6" s="152">
        <v>1.4</v>
      </c>
      <c r="F6" s="144"/>
      <c r="G6" s="144"/>
      <c r="H6" s="144"/>
      <c r="I6" s="113"/>
      <c r="J6" s="117"/>
      <c r="K6" s="117"/>
      <c r="L6" s="117"/>
      <c r="M6" s="117"/>
      <c r="N6" s="117"/>
      <c r="O6" s="117"/>
    </row>
    <row r="7" spans="1:15" x14ac:dyDescent="0.6">
      <c r="A7" s="167" t="s">
        <v>711</v>
      </c>
      <c r="B7" s="227"/>
      <c r="C7" s="157"/>
      <c r="D7" s="409"/>
      <c r="E7" s="152">
        <f>E4-E5-E6</f>
        <v>0.10000000000000009</v>
      </c>
      <c r="F7" s="144"/>
      <c r="G7" s="144"/>
      <c r="H7" s="144"/>
      <c r="I7" s="113"/>
      <c r="J7" s="117"/>
      <c r="K7" s="117"/>
      <c r="L7" s="117"/>
      <c r="M7" s="117"/>
      <c r="N7" s="117"/>
      <c r="O7" s="117"/>
    </row>
    <row r="8" spans="1:15" x14ac:dyDescent="0.6">
      <c r="A8" s="167"/>
      <c r="B8" s="107"/>
      <c r="C8" s="144"/>
      <c r="D8" s="156"/>
      <c r="E8" s="144"/>
      <c r="F8" s="144"/>
      <c r="G8" s="144"/>
      <c r="H8" s="144"/>
      <c r="I8" s="113"/>
      <c r="J8" s="117"/>
      <c r="K8" s="117"/>
      <c r="L8" s="117"/>
      <c r="M8" s="117"/>
      <c r="N8" s="117"/>
      <c r="O8" s="117"/>
    </row>
    <row r="9" spans="1:15" x14ac:dyDescent="0.6">
      <c r="A9" t="s">
        <v>177</v>
      </c>
      <c r="B9" s="152">
        <v>5.0999999999999996</v>
      </c>
      <c r="C9" s="152">
        <v>12.1</v>
      </c>
      <c r="D9" s="152">
        <v>21.8</v>
      </c>
      <c r="E9" s="152">
        <v>41.1</v>
      </c>
      <c r="F9" s="160">
        <f t="shared" ref="F9:N9" si="1">F16*F4</f>
        <v>0</v>
      </c>
      <c r="G9" s="160">
        <f t="shared" si="1"/>
        <v>0</v>
      </c>
      <c r="H9" s="160">
        <f t="shared" si="1"/>
        <v>0</v>
      </c>
      <c r="I9" s="160">
        <f t="shared" si="1"/>
        <v>0</v>
      </c>
      <c r="J9" s="160">
        <f t="shared" si="1"/>
        <v>0</v>
      </c>
      <c r="K9" s="160">
        <f t="shared" si="1"/>
        <v>0</v>
      </c>
      <c r="L9" s="160">
        <f t="shared" si="1"/>
        <v>0</v>
      </c>
      <c r="M9" s="160">
        <f t="shared" si="1"/>
        <v>0</v>
      </c>
      <c r="N9" s="160">
        <f t="shared" si="1"/>
        <v>0</v>
      </c>
      <c r="O9" s="160"/>
    </row>
    <row r="10" spans="1:15" x14ac:dyDescent="0.6">
      <c r="A10" s="167" t="s">
        <v>712</v>
      </c>
      <c r="B10" s="158">
        <f>B9/B4</f>
        <v>0.85</v>
      </c>
      <c r="C10" s="158">
        <f>C9/C4</f>
        <v>0.60199004975124371</v>
      </c>
      <c r="D10" s="158">
        <f>D9/D4</f>
        <v>0.65465465465465478</v>
      </c>
      <c r="E10" s="158">
        <f>E9/E4</f>
        <v>0.76252319109461975</v>
      </c>
      <c r="F10" s="160"/>
      <c r="G10" s="160"/>
      <c r="H10" s="160"/>
      <c r="I10" s="160"/>
      <c r="J10" s="160"/>
      <c r="K10" s="160"/>
      <c r="L10" s="160"/>
      <c r="M10" s="160"/>
      <c r="N10" s="160"/>
      <c r="O10" s="160"/>
    </row>
    <row r="11" spans="1:15" x14ac:dyDescent="0.6">
      <c r="A11" s="167" t="s">
        <v>713</v>
      </c>
      <c r="B11" s="160">
        <f t="shared" ref="B11:E13" si="2">B$10*B5</f>
        <v>5.0999999999999996</v>
      </c>
      <c r="C11" s="160">
        <f t="shared" si="2"/>
        <v>12.1</v>
      </c>
      <c r="D11" s="160">
        <f t="shared" si="2"/>
        <v>21.8</v>
      </c>
      <c r="E11" s="160">
        <f t="shared" si="2"/>
        <v>39.956215213358071</v>
      </c>
      <c r="F11" s="160"/>
      <c r="G11" s="160"/>
      <c r="H11" s="160"/>
      <c r="I11" s="160"/>
      <c r="J11" s="160"/>
      <c r="K11" s="160"/>
      <c r="L11" s="160"/>
      <c r="M11" s="160"/>
      <c r="N11" s="160"/>
      <c r="O11" s="160"/>
    </row>
    <row r="12" spans="1:15" x14ac:dyDescent="0.6">
      <c r="A12" s="167" t="s">
        <v>714</v>
      </c>
      <c r="B12" s="160">
        <f t="shared" si="2"/>
        <v>0</v>
      </c>
      <c r="C12" s="160">
        <f t="shared" si="2"/>
        <v>0</v>
      </c>
      <c r="D12" s="160">
        <f t="shared" si="2"/>
        <v>0</v>
      </c>
      <c r="E12" s="160">
        <f t="shared" si="2"/>
        <v>1.0675324675324676</v>
      </c>
      <c r="F12" s="160"/>
      <c r="G12" s="160"/>
      <c r="H12" s="160"/>
      <c r="I12" s="160"/>
      <c r="J12" s="160"/>
      <c r="K12" s="160"/>
      <c r="L12" s="160"/>
      <c r="M12" s="160"/>
      <c r="N12" s="160"/>
      <c r="O12" s="160"/>
    </row>
    <row r="13" spans="1:15" x14ac:dyDescent="0.6">
      <c r="A13" s="167" t="s">
        <v>715</v>
      </c>
      <c r="B13" s="160">
        <f t="shared" si="2"/>
        <v>0</v>
      </c>
      <c r="C13" s="160">
        <f t="shared" si="2"/>
        <v>0</v>
      </c>
      <c r="D13" s="160">
        <f t="shared" si="2"/>
        <v>0</v>
      </c>
      <c r="E13" s="160">
        <f t="shared" si="2"/>
        <v>7.6252319109462036E-2</v>
      </c>
      <c r="F13" s="160"/>
      <c r="G13" s="160"/>
      <c r="H13" s="160"/>
      <c r="I13" s="160"/>
      <c r="J13" s="160"/>
      <c r="K13" s="160"/>
      <c r="L13" s="160"/>
      <c r="M13" s="160"/>
      <c r="N13" s="160"/>
      <c r="O13" s="160"/>
    </row>
    <row r="14" spans="1:15" x14ac:dyDescent="0.6">
      <c r="B14" s="112"/>
      <c r="C14" s="112"/>
      <c r="D14" s="112"/>
      <c r="E14" s="112"/>
      <c r="F14" s="160"/>
      <c r="G14" s="160"/>
      <c r="H14" s="160"/>
      <c r="I14" s="160"/>
      <c r="J14" s="160"/>
      <c r="K14" s="160"/>
      <c r="L14" s="160"/>
      <c r="M14" s="160"/>
      <c r="N14" s="160"/>
      <c r="O14" s="160"/>
    </row>
    <row r="15" spans="1:15" x14ac:dyDescent="0.6">
      <c r="B15" s="112"/>
      <c r="C15" s="112"/>
      <c r="D15" s="112"/>
      <c r="E15" s="112"/>
      <c r="F15" s="160"/>
      <c r="G15" s="160"/>
      <c r="H15" s="160"/>
      <c r="I15" s="160"/>
      <c r="J15" s="160"/>
      <c r="K15" s="160"/>
      <c r="L15" s="160"/>
      <c r="M15" s="160"/>
      <c r="N15" s="160"/>
      <c r="O15" s="160"/>
    </row>
    <row r="16" spans="1:15" x14ac:dyDescent="0.6">
      <c r="A16" t="s">
        <v>176</v>
      </c>
      <c r="B16" s="157">
        <v>0.84</v>
      </c>
      <c r="C16" s="157">
        <v>0.61</v>
      </c>
      <c r="D16" s="409">
        <v>0.66</v>
      </c>
      <c r="E16" s="157">
        <v>0.73</v>
      </c>
      <c r="F16" s="163">
        <v>0.7</v>
      </c>
      <c r="G16" s="39">
        <f>F16</f>
        <v>0.7</v>
      </c>
      <c r="H16" s="39">
        <f>G16</f>
        <v>0.7</v>
      </c>
      <c r="I16" s="39">
        <f t="shared" ref="I16:N16" si="3">H16</f>
        <v>0.7</v>
      </c>
      <c r="J16" s="39">
        <f t="shared" si="3"/>
        <v>0.7</v>
      </c>
      <c r="K16" s="39">
        <f t="shared" si="3"/>
        <v>0.7</v>
      </c>
      <c r="L16" s="39">
        <f t="shared" si="3"/>
        <v>0.7</v>
      </c>
      <c r="M16" s="39">
        <f t="shared" si="3"/>
        <v>0.7</v>
      </c>
      <c r="N16" s="39">
        <f t="shared" si="3"/>
        <v>0.7</v>
      </c>
      <c r="O16" s="39"/>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A6706-CF29-440E-8F14-9CBE3ADBCD7F}">
  <dimension ref="B1:AF48"/>
  <sheetViews>
    <sheetView topLeftCell="A13" zoomScale="59" zoomScaleNormal="70" workbookViewId="0">
      <selection activeCell="K45" sqref="K45"/>
    </sheetView>
  </sheetViews>
  <sheetFormatPr defaultRowHeight="15.6" outlineLevelCol="1" x14ac:dyDescent="0.6"/>
  <cols>
    <col min="2" max="2" width="37" customWidth="1"/>
    <col min="3" max="3" width="8.796875" customWidth="1"/>
    <col min="4" max="7" width="8.796875" hidden="1" customWidth="1" outlineLevel="1"/>
    <col min="8" max="8" width="8.6484375" collapsed="1"/>
    <col min="14" max="14" width="10.75" customWidth="1"/>
  </cols>
  <sheetData>
    <row r="1" spans="2:32" x14ac:dyDescent="0.6">
      <c r="N1" s="19" t="s">
        <v>2339</v>
      </c>
      <c r="O1" s="19" t="s">
        <v>2340</v>
      </c>
      <c r="P1" s="19" t="s">
        <v>2341</v>
      </c>
      <c r="Q1" s="19" t="s">
        <v>2343</v>
      </c>
      <c r="R1" s="19" t="s">
        <v>2386</v>
      </c>
    </row>
    <row r="2" spans="2:32" x14ac:dyDescent="0.6">
      <c r="N2" s="736" t="s">
        <v>2342</v>
      </c>
      <c r="O2" s="19"/>
      <c r="P2" s="19"/>
      <c r="Q2" s="19"/>
      <c r="Z2" s="736" t="s">
        <v>2342</v>
      </c>
    </row>
    <row r="3" spans="2:32" x14ac:dyDescent="0.6">
      <c r="N3" s="736"/>
      <c r="Z3" s="736" t="s">
        <v>2344</v>
      </c>
    </row>
    <row r="4" spans="2:32" x14ac:dyDescent="0.6">
      <c r="B4" s="20"/>
      <c r="C4" s="333"/>
      <c r="D4" s="333"/>
      <c r="E4" s="333"/>
      <c r="F4" s="333"/>
      <c r="G4" s="333"/>
      <c r="H4" s="333" t="s">
        <v>553</v>
      </c>
      <c r="I4" s="333" t="s">
        <v>553</v>
      </c>
      <c r="J4" s="333" t="s">
        <v>553</v>
      </c>
      <c r="K4" s="333" t="s">
        <v>553</v>
      </c>
      <c r="L4" s="333" t="s">
        <v>553</v>
      </c>
      <c r="M4" s="333"/>
      <c r="N4" s="333" t="s">
        <v>669</v>
      </c>
      <c r="O4" s="333" t="s">
        <v>669</v>
      </c>
      <c r="P4" s="333" t="s">
        <v>669</v>
      </c>
      <c r="Q4" s="333" t="s">
        <v>669</v>
      </c>
      <c r="R4" s="333" t="s">
        <v>669</v>
      </c>
      <c r="S4" s="333"/>
      <c r="T4" s="333" t="s">
        <v>671</v>
      </c>
      <c r="U4" s="333" t="s">
        <v>671</v>
      </c>
      <c r="V4" s="333" t="s">
        <v>671</v>
      </c>
      <c r="W4" s="333" t="s">
        <v>671</v>
      </c>
      <c r="X4" s="333" t="s">
        <v>671</v>
      </c>
      <c r="Z4" s="333" t="s">
        <v>1427</v>
      </c>
      <c r="AA4" s="333" t="s">
        <v>1427</v>
      </c>
      <c r="AB4" s="333" t="s">
        <v>1427</v>
      </c>
    </row>
    <row r="5" spans="2:32" x14ac:dyDescent="0.6">
      <c r="B5" s="235" t="s">
        <v>156</v>
      </c>
      <c r="C5" s="235">
        <v>2023</v>
      </c>
      <c r="D5" s="334" t="s">
        <v>1887</v>
      </c>
      <c r="E5" s="334" t="s">
        <v>1888</v>
      </c>
      <c r="F5" s="334" t="s">
        <v>1889</v>
      </c>
      <c r="G5" s="334" t="s">
        <v>1890</v>
      </c>
      <c r="H5" s="235">
        <v>2024</v>
      </c>
      <c r="I5" s="235">
        <f>H5+1</f>
        <v>2025</v>
      </c>
      <c r="J5" s="235">
        <f>I5+1</f>
        <v>2026</v>
      </c>
      <c r="K5" s="235">
        <f>J5+1</f>
        <v>2027</v>
      </c>
      <c r="L5" s="235">
        <f>K5+1</f>
        <v>2028</v>
      </c>
      <c r="M5" s="235"/>
      <c r="N5" s="235">
        <f>H5</f>
        <v>2024</v>
      </c>
      <c r="O5" s="235">
        <f>I5</f>
        <v>2025</v>
      </c>
      <c r="P5" s="235">
        <f>J5</f>
        <v>2026</v>
      </c>
      <c r="Q5" s="235">
        <f>K5</f>
        <v>2027</v>
      </c>
      <c r="R5" s="235">
        <f>L5</f>
        <v>2028</v>
      </c>
      <c r="S5" s="235"/>
      <c r="T5" s="235">
        <f>N5</f>
        <v>2024</v>
      </c>
      <c r="U5" s="235">
        <f>O5</f>
        <v>2025</v>
      </c>
      <c r="V5" s="235">
        <f>P5</f>
        <v>2026</v>
      </c>
      <c r="W5" s="235">
        <f>Q5</f>
        <v>2027</v>
      </c>
      <c r="X5" s="235">
        <f>R5</f>
        <v>2028</v>
      </c>
      <c r="Z5" s="235">
        <f>T5</f>
        <v>2024</v>
      </c>
      <c r="AA5" s="235">
        <f>U5</f>
        <v>2025</v>
      </c>
      <c r="AB5" s="235">
        <f>V5</f>
        <v>2026</v>
      </c>
      <c r="AD5" s="235">
        <v>2024</v>
      </c>
      <c r="AE5" s="235">
        <v>2025</v>
      </c>
      <c r="AF5" s="235">
        <v>2026</v>
      </c>
    </row>
    <row r="6" spans="2:32" x14ac:dyDescent="0.6">
      <c r="B6" t="s">
        <v>414</v>
      </c>
      <c r="C6" s="83"/>
      <c r="D6" s="83"/>
      <c r="E6" s="83"/>
      <c r="F6" s="83"/>
      <c r="G6" s="83"/>
      <c r="H6" s="83">
        <f>'Revenue and Expenses breakdown'!H7</f>
        <v>10103.201107666722</v>
      </c>
      <c r="I6" s="83">
        <f>'Revenue and Expenses breakdown'!I7</f>
        <v>12802.34748502066</v>
      </c>
      <c r="J6" s="83">
        <f>'Revenue and Expenses breakdown'!J7</f>
        <v>15676.722571018654</v>
      </c>
      <c r="K6" s="83">
        <f>'Revenue and Expenses breakdown'!K7</f>
        <v>18149.875487622608</v>
      </c>
      <c r="L6" s="83">
        <f>'Revenue and Expenses breakdown'!L7</f>
        <v>20452.62858847492</v>
      </c>
      <c r="M6" s="83"/>
      <c r="N6" s="1262">
        <f>_xll.VAData("NU_BR",N$1,"Interest income","consensus.vaactuals")</f>
        <v>9857.8705985738743</v>
      </c>
      <c r="O6" s="1262">
        <f>_xll.VAData("NU_BR",O$1,"Interest income","consensus.vaactuals")</f>
        <v>12812.95940500627</v>
      </c>
      <c r="P6" s="1262">
        <f>_xll.VAData("NU_BR",P$1,"Interest income","consensus.vaactuals")</f>
        <v>16251.89204525425</v>
      </c>
      <c r="Q6" s="1262">
        <f>_xll.VAData("NU_BR",Q$1,"Interest income","consensus.vaactuals")</f>
        <v>19914.048317527173</v>
      </c>
      <c r="R6" s="1262">
        <f>_xll.VAData("NU_BR",R$1,"Interest income","consensus.vaactuals")</f>
        <v>23610.815776142968</v>
      </c>
      <c r="S6" s="83"/>
      <c r="T6" s="234">
        <f t="shared" ref="T6:X7" si="0">H6/N6-1</f>
        <v>2.4886765010725398E-2</v>
      </c>
      <c r="U6" s="234">
        <f t="shared" si="0"/>
        <v>-8.2821771693608603E-4</v>
      </c>
      <c r="V6" s="234">
        <f t="shared" si="0"/>
        <v>-3.5390923877294145E-2</v>
      </c>
      <c r="W6" s="234">
        <f t="shared" si="0"/>
        <v>-8.8589361729721428E-2</v>
      </c>
      <c r="X6" s="234">
        <f t="shared" si="0"/>
        <v>-0.13376018929677003</v>
      </c>
      <c r="Z6" s="234">
        <f t="shared" ref="Z6:AB7" si="1">H6/AD6-1</f>
        <v>2.139144708159213E-2</v>
      </c>
      <c r="AA6" s="234">
        <f t="shared" si="1"/>
        <v>1.9011307417595713E-2</v>
      </c>
      <c r="AB6" s="234">
        <f t="shared" si="1"/>
        <v>3.6109709768037179E-2</v>
      </c>
      <c r="AD6" s="83">
        <v>9891.605355159827</v>
      </c>
      <c r="AE6" s="83">
        <v>12563.498944349001</v>
      </c>
      <c r="AF6" s="83">
        <v>15130.369325974503</v>
      </c>
    </row>
    <row r="7" spans="2:32" x14ac:dyDescent="0.6">
      <c r="B7" t="s">
        <v>724</v>
      </c>
      <c r="C7" s="83"/>
      <c r="D7" s="83"/>
      <c r="E7" s="83"/>
      <c r="F7" s="83"/>
      <c r="G7" s="83"/>
      <c r="H7" s="83">
        <f>'Revenue and Expenses breakdown'!H31</f>
        <v>1854.4597035514084</v>
      </c>
      <c r="I7" s="83">
        <f>'Revenue and Expenses breakdown'!I31</f>
        <v>2441.5181829771404</v>
      </c>
      <c r="J7" s="83">
        <f>'Revenue and Expenses breakdown'!J31</f>
        <v>3034.1606090958821</v>
      </c>
      <c r="K7" s="83">
        <f>'Revenue and Expenses breakdown'!K31</f>
        <v>3685.0922440585928</v>
      </c>
      <c r="L7" s="83">
        <f>'Revenue and Expenses breakdown'!L31</f>
        <v>4142.6975810236136</v>
      </c>
      <c r="M7" s="83"/>
      <c r="N7" s="1262">
        <f>_xll.VAData("NU_BR",N$1,"Fee and commission income","consensus.vaactuals","CD","IMPL","Current","","","USD")</f>
        <v>1977.802206044601</v>
      </c>
      <c r="O7" s="1262">
        <f>_xll.VAData("NU_BR",O$1,"Fee and commission income","consensus.vaactuals","CD","IMPL","Current","","","USD")</f>
        <v>2608.8599421889521</v>
      </c>
      <c r="P7" s="1262">
        <f>_xll.VAData("NU_BR",P$1,"Fee and commission income","consensus.vaactuals","CD","IMPL","Current","","","USD")</f>
        <v>3290.2139507129018</v>
      </c>
      <c r="Q7" s="1262">
        <f>_xll.VAData("NU_BR",Q$1,"Fee and commission income","consensus.vaactuals","CD","IMPL","Current","","","USD")</f>
        <v>4154.6244534347161</v>
      </c>
      <c r="R7" s="1262">
        <f>_xll.VAData("NU_BR",R$1,"Fee and commission income","consensus.vaactuals","CD","IMPL","Current","","","USD")</f>
        <v>5059.8822272164471</v>
      </c>
      <c r="S7" s="83"/>
      <c r="T7" s="234">
        <f t="shared" si="0"/>
        <v>-6.2363416380177283E-2</v>
      </c>
      <c r="U7" s="234">
        <f t="shared" si="0"/>
        <v>-6.4143634737020117E-2</v>
      </c>
      <c r="V7" s="234">
        <f t="shared" si="0"/>
        <v>-7.7822702551467726E-2</v>
      </c>
      <c r="W7" s="234">
        <f t="shared" si="0"/>
        <v>-0.11301435656547754</v>
      </c>
      <c r="X7" s="234">
        <f t="shared" si="0"/>
        <v>-0.18126600679743432</v>
      </c>
      <c r="Z7" s="234">
        <f t="shared" si="1"/>
        <v>-4.4544472972121607E-2</v>
      </c>
      <c r="AA7" s="234">
        <f t="shared" si="1"/>
        <v>-4.7745626146876607E-2</v>
      </c>
      <c r="AB7" s="234">
        <f t="shared" si="1"/>
        <v>-2.7977479744572209E-2</v>
      </c>
      <c r="AD7" s="83">
        <v>1940.916820398799</v>
      </c>
      <c r="AE7" s="83">
        <v>2563.9348581807853</v>
      </c>
      <c r="AF7" s="83">
        <v>3121.4920908402064</v>
      </c>
    </row>
    <row r="8" spans="2:32" x14ac:dyDescent="0.6">
      <c r="B8" s="84"/>
      <c r="C8" s="410"/>
      <c r="D8" s="410"/>
      <c r="E8" s="410"/>
      <c r="F8" s="410"/>
      <c r="G8" s="410"/>
      <c r="H8" s="410"/>
      <c r="I8" s="410"/>
      <c r="J8" s="410"/>
      <c r="K8" s="410"/>
      <c r="L8" s="410"/>
      <c r="M8" s="410"/>
      <c r="N8" s="84"/>
      <c r="O8" s="84"/>
      <c r="P8" s="84"/>
      <c r="Q8" s="84"/>
      <c r="R8" s="84"/>
      <c r="S8" s="410"/>
      <c r="T8" s="410"/>
      <c r="U8" s="410"/>
      <c r="V8" s="410"/>
      <c r="W8" s="410"/>
      <c r="X8" s="410"/>
      <c r="Z8" s="84"/>
      <c r="AA8" s="84"/>
      <c r="AB8" s="84"/>
      <c r="AD8" s="410"/>
      <c r="AE8" s="410"/>
      <c r="AF8" s="410"/>
    </row>
    <row r="9" spans="2:32" x14ac:dyDescent="0.6">
      <c r="B9" s="20" t="s">
        <v>339</v>
      </c>
      <c r="C9" s="734"/>
      <c r="D9" s="734"/>
      <c r="E9" s="734"/>
      <c r="F9" s="734"/>
      <c r="G9" s="734"/>
      <c r="H9" s="734">
        <f t="shared" ref="H9:I9" si="2">H6+H7+H8</f>
        <v>11957.660811218131</v>
      </c>
      <c r="I9" s="734">
        <f t="shared" si="2"/>
        <v>15243.865667997801</v>
      </c>
      <c r="J9" s="734">
        <f t="shared" ref="J9:K9" si="3">J6+J7+J8</f>
        <v>18710.883180114535</v>
      </c>
      <c r="K9" s="734">
        <f t="shared" si="3"/>
        <v>21834.967731681201</v>
      </c>
      <c r="L9" s="734">
        <f t="shared" ref="L9" si="4">L6+L7+L8</f>
        <v>24595.326169498534</v>
      </c>
      <c r="M9" s="734"/>
      <c r="N9" s="734">
        <f>N6+N7+N8</f>
        <v>11835.672804618476</v>
      </c>
      <c r="O9" s="734">
        <f>O6+O7+O8</f>
        <v>15421.819347195222</v>
      </c>
      <c r="P9" s="734">
        <f>P6+P7+P8</f>
        <v>19542.105995967151</v>
      </c>
      <c r="Q9" s="734">
        <f>Q6+Q7+Q8</f>
        <v>24068.67277096189</v>
      </c>
      <c r="R9" s="734">
        <f>R6+R7+R8</f>
        <v>28670.698003359415</v>
      </c>
      <c r="S9" s="734"/>
      <c r="T9" s="735">
        <f>H9/N9-1</f>
        <v>1.0306807953668118E-2</v>
      </c>
      <c r="U9" s="735">
        <f>I9/O9-1</f>
        <v>-1.1539084669007327E-2</v>
      </c>
      <c r="V9" s="735">
        <f>J9/P9-1</f>
        <v>-4.2534966089333159E-2</v>
      </c>
      <c r="W9" s="735">
        <f>K9/Q9-1</f>
        <v>-9.2805492871862239E-2</v>
      </c>
      <c r="X9" s="735">
        <f>L9/R9-1</f>
        <v>-0.14214414428917499</v>
      </c>
      <c r="Z9" s="735">
        <f>H9/AD9-1</f>
        <v>1.0575820928355517E-2</v>
      </c>
      <c r="AA9" s="735">
        <f>I9/AE9-1</f>
        <v>7.6967360748616542E-3</v>
      </c>
      <c r="AB9" s="735">
        <f>J9/AF9-1</f>
        <v>2.514931232586215E-2</v>
      </c>
      <c r="AD9" s="734">
        <v>11832.522175558626</v>
      </c>
      <c r="AE9" s="734">
        <v>15127.433802529787</v>
      </c>
      <c r="AF9" s="734">
        <v>18251.861416814711</v>
      </c>
    </row>
    <row r="10" spans="2:32" x14ac:dyDescent="0.6">
      <c r="C10" s="83"/>
      <c r="D10" s="83"/>
      <c r="E10" s="83"/>
      <c r="F10" s="83"/>
      <c r="G10" s="83"/>
      <c r="H10" s="83"/>
      <c r="I10" s="83"/>
      <c r="J10" s="83"/>
      <c r="K10" s="83"/>
      <c r="L10" s="83"/>
      <c r="M10" s="83"/>
      <c r="N10" s="83"/>
      <c r="O10" s="83"/>
      <c r="P10" s="83"/>
      <c r="Q10" s="83"/>
      <c r="R10" s="83"/>
      <c r="S10" s="83"/>
      <c r="T10" s="83"/>
      <c r="U10" s="83"/>
      <c r="V10" s="83"/>
      <c r="W10" s="83"/>
      <c r="X10" s="83"/>
      <c r="AD10" s="83"/>
      <c r="AE10" s="83"/>
      <c r="AF10" s="83"/>
    </row>
    <row r="11" spans="2:32" x14ac:dyDescent="0.6">
      <c r="B11" t="s">
        <v>2292</v>
      </c>
      <c r="C11" s="83"/>
      <c r="D11" s="83"/>
      <c r="E11" s="83"/>
      <c r="F11" s="83"/>
      <c r="G11" s="83"/>
      <c r="H11" s="361">
        <f>H6/AVERAGE(C37:H37)</f>
        <v>0.58218684942504861</v>
      </c>
      <c r="I11" s="361">
        <f>I6/AVERAGE(H37:I37)</f>
        <v>0.56959290280082331</v>
      </c>
      <c r="J11" s="361">
        <f>J6/AVERAGE(I37:J37)</f>
        <v>0.52036932438741246</v>
      </c>
      <c r="K11" s="361">
        <f>K6/AVERAGE(J37:K37)</f>
        <v>0.46904408148403237</v>
      </c>
      <c r="L11" s="361">
        <f>L6/AVERAGE(K37:L37)</f>
        <v>0.43456345054802464</v>
      </c>
      <c r="M11" s="83"/>
      <c r="N11" s="361">
        <f>N6/AVERAGE(C37,N37)</f>
        <v>0.53389395692258479</v>
      </c>
      <c r="O11" s="361">
        <f>O6/AVERAGE(N37:O37)</f>
        <v>0.50181209767840729</v>
      </c>
      <c r="P11" s="361">
        <f>P6/AVERAGE(O37:P37)</f>
        <v>0.47777847413945296</v>
      </c>
      <c r="Q11" s="361">
        <f>Q6/AVERAGE(P37:Q37)</f>
        <v>0.47919617090768007</v>
      </c>
      <c r="R11" s="361">
        <f>R6/AVERAGE(Q37:R37)</f>
        <v>0.47345033866915986</v>
      </c>
      <c r="S11" s="83"/>
      <c r="T11" s="83"/>
      <c r="U11" s="83"/>
      <c r="V11" s="83"/>
      <c r="W11" s="83"/>
      <c r="X11" s="83"/>
      <c r="AD11" s="361">
        <v>0.45232515069373502</v>
      </c>
      <c r="AE11" s="361">
        <v>0.47677434572767358</v>
      </c>
      <c r="AF11" s="361">
        <v>0.42778566368603788</v>
      </c>
    </row>
    <row r="12" spans="2:32" x14ac:dyDescent="0.6">
      <c r="B12" t="s">
        <v>2291</v>
      </c>
      <c r="C12" s="361"/>
      <c r="D12" s="361"/>
      <c r="E12" s="361"/>
      <c r="F12" s="361"/>
      <c r="G12" s="361"/>
      <c r="H12" s="361">
        <f>-H14/AVERAGE(D41:H41)</f>
        <v>9.454391014718562E-2</v>
      </c>
      <c r="I12" s="361">
        <f>-I14/AVERAGE(H41:I41)</f>
        <v>9.9990609947418832E-2</v>
      </c>
      <c r="J12" s="361">
        <f>-J14/AVERAGE(I41:J41)</f>
        <v>9.2973850796265606E-2</v>
      </c>
      <c r="K12" s="361">
        <f>-K14/AVERAGE(J41:K41)</f>
        <v>8.7012959511249224E-2</v>
      </c>
      <c r="L12" s="361">
        <f>-L14/AVERAGE(K41:L41)</f>
        <v>8.5544655024335337E-2</v>
      </c>
      <c r="N12" s="361">
        <f>-N14/AVERAGE(N41:N41)</f>
        <v>7.3299082783061686E-2</v>
      </c>
      <c r="O12" s="361">
        <f>-O14/AVERAGE(N41:O41)</f>
        <v>7.8573218331405237E-2</v>
      </c>
      <c r="P12" s="361">
        <f>-P14/AVERAGE(O41:P41)</f>
        <v>7.2493633874766039E-2</v>
      </c>
      <c r="Q12" s="361">
        <f>-Q14/AVERAGE(P41:Q41)</f>
        <v>6.8123252969291004E-2</v>
      </c>
      <c r="R12" s="361">
        <f>-R14/AVERAGE(Q41:R41)</f>
        <v>6.6177882246963193E-2</v>
      </c>
      <c r="AD12" s="361">
        <v>9.701519736548872E-2</v>
      </c>
      <c r="AE12" s="361">
        <v>9.6984206563312733E-2</v>
      </c>
      <c r="AF12" s="361">
        <v>8.9486091166868856E-2</v>
      </c>
    </row>
    <row r="13" spans="2:32" x14ac:dyDescent="0.6">
      <c r="C13" s="361"/>
      <c r="D13" s="361"/>
      <c r="E13" s="361"/>
      <c r="F13" s="361"/>
      <c r="G13" s="361"/>
      <c r="H13" s="361"/>
      <c r="I13" s="361"/>
      <c r="J13" s="361"/>
      <c r="K13" s="361"/>
      <c r="L13" s="361"/>
      <c r="N13" s="361"/>
      <c r="O13" s="361"/>
      <c r="P13" s="361"/>
      <c r="Q13" s="361"/>
      <c r="R13" s="361"/>
      <c r="AD13" s="361"/>
      <c r="AE13" s="361"/>
      <c r="AF13" s="361"/>
    </row>
    <row r="14" spans="2:32" x14ac:dyDescent="0.6">
      <c r="B14" t="s">
        <v>725</v>
      </c>
      <c r="C14" s="83"/>
      <c r="D14" s="83"/>
      <c r="E14" s="83"/>
      <c r="F14" s="83"/>
      <c r="G14" s="83"/>
      <c r="H14" s="83">
        <f>Master!I8</f>
        <v>-2844.4204600881767</v>
      </c>
      <c r="I14" s="83">
        <f>Master!J8</f>
        <v>-3461.6073036878447</v>
      </c>
      <c r="J14" s="83">
        <f>Master!K8</f>
        <v>-4006.2684307533441</v>
      </c>
      <c r="K14" s="83">
        <f>Master!L8</f>
        <v>-4470.6273251791217</v>
      </c>
      <c r="L14" s="83">
        <f>Master!M8</f>
        <v>-5152.1537430362087</v>
      </c>
      <c r="M14" s="83"/>
      <c r="N14" s="83">
        <f>-_xll.VAData("NU_BR",N$1,"Interest expenses on deposits","consensus.vaactuals","CD","IMPL","Current","","","USD")</f>
        <v>-2283.4160768137835</v>
      </c>
      <c r="O14" s="83">
        <f>-_xll.VAData("NU_BR",O$1,"Interest expenses on deposits","consensus.vaactuals","CD","IMPL","Current","","","USD")</f>
        <v>-2836.4599491252711</v>
      </c>
      <c r="P14" s="83">
        <f>-_xll.VAData("NU_BR",P$1,"Interest expenses on deposits","consensus.vaactuals","CD","IMPL","Current","","","USD")</f>
        <v>-3343.2757157908118</v>
      </c>
      <c r="Q14" s="83">
        <f>-_xll.VAData("NU_BR",Q$1,"Interest expenses on deposits","consensus.vaactuals","CD","IMPL","Current","","","USD")</f>
        <v>-4040.7508264046323</v>
      </c>
      <c r="R14" s="83">
        <f>-_xll.VAData("NU_BR",R$1,"Interest expenses on deposits","consensus.vaactuals","CD","IMPL","Current","","","USD")</f>
        <v>-4916.7729212843478</v>
      </c>
      <c r="S14" s="83"/>
      <c r="T14" s="234">
        <f>H14/N14-1</f>
        <v>0.24568644714860866</v>
      </c>
      <c r="U14" s="234">
        <f>I14/O14-1</f>
        <v>0.22039703213696393</v>
      </c>
      <c r="V14" s="234">
        <f>J14/P14-1</f>
        <v>0.19830632329577691</v>
      </c>
      <c r="W14" s="234">
        <f>K14/Q14-1</f>
        <v>0.10638530244563071</v>
      </c>
      <c r="X14" s="234">
        <f>L14/R14-1</f>
        <v>4.7873030851783849E-2</v>
      </c>
      <c r="Z14" s="234">
        <f>H14/AD14-1</f>
        <v>2.6956574208147233E-2</v>
      </c>
      <c r="AA14" s="234">
        <f>I14/AE14-1</f>
        <v>8.7502152912159348E-2</v>
      </c>
      <c r="AB14" s="234">
        <f>J14/AF14-1</f>
        <v>9.4661236547024297E-2</v>
      </c>
      <c r="AD14" s="83">
        <v>-2769.7572921049918</v>
      </c>
      <c r="AE14" s="83">
        <v>-3183.0808742936333</v>
      </c>
      <c r="AF14" s="83">
        <v>-3659.8248818882362</v>
      </c>
    </row>
    <row r="15" spans="2:32" x14ac:dyDescent="0.6">
      <c r="C15" s="83"/>
      <c r="D15" s="83"/>
      <c r="E15" s="83"/>
      <c r="F15" s="83"/>
      <c r="G15" s="83"/>
      <c r="H15" s="83"/>
      <c r="I15" s="83"/>
      <c r="J15" s="83"/>
      <c r="K15" s="83"/>
      <c r="L15" s="83"/>
      <c r="M15" s="83"/>
      <c r="N15" s="83">
        <f>-_xll.VAData("NU_BR",N$1,"Other interest expenses","consensus.vaactuals","CD","IMPL","Current","","","USD")</f>
        <v>-467.77267953701289</v>
      </c>
      <c r="O15" s="83">
        <f>-_xll.VAData("NU_BR",O$1,"Other interest expenses","consensus.vaactuals","CD","IMPL","Current","","","USD")</f>
        <v>-527.98855311464627</v>
      </c>
      <c r="P15" s="83">
        <f>-_xll.VAData("NU_BR",P$1,"Other interest expenses","consensus.vaactuals","CD","IMPL","Current","","","USD")</f>
        <v>-623.05029216025855</v>
      </c>
      <c r="Q15" s="83">
        <f>-_xll.VAData("NU_BR",Q$1,"Other interest expenses","consensus.vaactuals","CD","IMPL","Current","","","USD")</f>
        <v>-717.32299359956005</v>
      </c>
      <c r="R15" s="83">
        <f>-_xll.VAData("NU_BR",R$1,"Other interest expenses","consensus.vaactuals","CD","IMPL","Current","","","USD")</f>
        <v>-751.61932233466564</v>
      </c>
      <c r="S15" s="83"/>
      <c r="T15" s="234"/>
      <c r="U15" s="234"/>
      <c r="V15" s="234"/>
      <c r="W15" s="234"/>
      <c r="X15" s="234"/>
    </row>
    <row r="16" spans="2:32" x14ac:dyDescent="0.6">
      <c r="B16" t="s">
        <v>726</v>
      </c>
      <c r="C16" s="83"/>
      <c r="D16" s="83"/>
      <c r="E16" s="83"/>
      <c r="F16" s="83"/>
      <c r="G16" s="83"/>
      <c r="H16" s="83">
        <f>Master!I10</f>
        <v>-268.75</v>
      </c>
      <c r="I16" s="83">
        <f>Master!J10</f>
        <v>-349.375</v>
      </c>
      <c r="J16" s="83">
        <f>Master!K10</f>
        <v>-442.25346130044193</v>
      </c>
      <c r="K16" s="83">
        <f>Master!L10</f>
        <v>-541.97984721637488</v>
      </c>
      <c r="L16" s="83">
        <f>Master!M10</f>
        <v>-606.37484191264946</v>
      </c>
      <c r="M16" s="83"/>
      <c r="N16" s="83">
        <f>-_xll.VAData("NU_BR",N$1,"Transactional expenses","consensus.vaactuals","CD","IMPL","Current","","","USD")</f>
        <v>-284.35603618458219</v>
      </c>
      <c r="O16" s="83">
        <f>-_xll.VAData("NU_BR",O$1,"Transactional expenses","consensus.vaactuals","CD","IMPL","Current","","","USD")</f>
        <v>-358.63347238624686</v>
      </c>
      <c r="P16" s="83">
        <f>-_xll.VAData("NU_BR",P$1,"Transactional expenses","consensus.vaactuals","CD","IMPL","Current","","","USD")</f>
        <v>-431.93649688711901</v>
      </c>
      <c r="Q16" s="83">
        <f>-_xll.VAData("NU_BR",Q$1,"Transactional expenses","consensus.vaactuals","CD","IMPL","Current","","","USD")</f>
        <v>-536.32748041336458</v>
      </c>
      <c r="R16" s="83">
        <f>-_xll.VAData("NU_BR",R$1,"Transactional expenses","consensus.vaactuals","CD","IMPL","Current","","","USD")</f>
        <v>-644.93257142889013</v>
      </c>
      <c r="S16" s="83"/>
      <c r="T16" s="234">
        <f t="shared" ref="T16:X18" si="5">H16/N16-1</f>
        <v>-5.4882028860649745E-2</v>
      </c>
      <c r="U16" s="234">
        <f t="shared" si="5"/>
        <v>-2.5815973965407024E-2</v>
      </c>
      <c r="V16" s="234">
        <f t="shared" si="5"/>
        <v>2.3885373168683888E-2</v>
      </c>
      <c r="W16" s="234">
        <f t="shared" si="5"/>
        <v>1.0539021417761196E-2</v>
      </c>
      <c r="X16" s="234">
        <f t="shared" si="5"/>
        <v>-5.9785675626234047E-2</v>
      </c>
      <c r="Z16" s="234">
        <f t="shared" ref="Z16:AB18" si="6">H16/AD16-1</f>
        <v>-0.13793103448275867</v>
      </c>
      <c r="AA16" s="234">
        <f t="shared" si="6"/>
        <v>-0.13793103448275867</v>
      </c>
      <c r="AB16" s="234">
        <f t="shared" si="6"/>
        <v>-0.11332619661159016</v>
      </c>
      <c r="AD16" s="83">
        <v>-311.75</v>
      </c>
      <c r="AE16" s="83">
        <v>-405.27500000000003</v>
      </c>
      <c r="AF16" s="83">
        <v>-498.77808457899329</v>
      </c>
    </row>
    <row r="17" spans="2:32" x14ac:dyDescent="0.6">
      <c r="B17" s="84" t="s">
        <v>727</v>
      </c>
      <c r="C17" s="410"/>
      <c r="D17" s="410"/>
      <c r="E17" s="410"/>
      <c r="F17" s="410"/>
      <c r="G17" s="410"/>
      <c r="H17" s="410">
        <f>Master!I12</f>
        <v>-3397.7659999999996</v>
      </c>
      <c r="I17" s="410">
        <f>Master!J12</f>
        <v>-4216.4800000000005</v>
      </c>
      <c r="J17" s="410">
        <f>Master!K12</f>
        <v>-5153.5</v>
      </c>
      <c r="K17" s="410">
        <f>Master!L12</f>
        <v>-5584.42</v>
      </c>
      <c r="L17" s="410">
        <f>Master!M12</f>
        <v>-5883.5</v>
      </c>
      <c r="M17" s="410"/>
      <c r="N17" s="410" cm="1">
        <f t="array" ref="N17">-_xll.VAData("NU_BR", N$1, "Provision for loan losses", "Consensus", "CD", "IMPL","","")</f>
        <v>-3319.493366953142</v>
      </c>
      <c r="O17" s="410" cm="1">
        <f t="array" ref="O17">-_xll.VAData("NU_BR", O$1, "Provision for loan losses", "Consensus", "CD", "IMPL","","")</f>
        <v>-4422.0417283105089</v>
      </c>
      <c r="P17" s="410" cm="1">
        <f t="array" ref="P17">-_xll.VAData("NU_BR", P$1, "Provision for loan losses", "Consensus", "CD", "IMPL","","")</f>
        <v>-5612.7397856086127</v>
      </c>
      <c r="Q17" s="410" cm="1">
        <f t="array" ref="Q17">-_xll.VAData("NU_BR", Q$1, "Provision for loan losses", "Consensus", "CD", "IMPL","","")</f>
        <v>-6787.1514564800755</v>
      </c>
      <c r="R17" s="410" cm="1">
        <f t="array" ref="R17">-_xll.VAData("NU_BR", R$1, "Provision for loan losses", "Consensus", "CD", "IMPL","","")</f>
        <v>-7976.845557575245</v>
      </c>
      <c r="S17" s="410"/>
      <c r="T17" s="236">
        <f t="shared" si="5"/>
        <v>2.3579692559742016E-2</v>
      </c>
      <c r="U17" s="236">
        <f t="shared" si="5"/>
        <v>-4.6485705233054286E-2</v>
      </c>
      <c r="V17" s="236">
        <f t="shared" si="5"/>
        <v>-8.182096501001701E-2</v>
      </c>
      <c r="W17" s="236">
        <f t="shared" si="5"/>
        <v>-0.17720710436360754</v>
      </c>
      <c r="X17" s="236">
        <f t="shared" si="5"/>
        <v>-0.26242774069848829</v>
      </c>
      <c r="Z17" s="236">
        <f t="shared" si="6"/>
        <v>-8.6741110365987306E-2</v>
      </c>
      <c r="AA17" s="236">
        <f t="shared" si="6"/>
        <v>-4.661792520556074E-2</v>
      </c>
      <c r="AB17" s="236">
        <f t="shared" si="6"/>
        <v>0.12362000342307855</v>
      </c>
      <c r="AD17" s="410">
        <v>-3720.4849999999997</v>
      </c>
      <c r="AE17" s="410">
        <v>-4422.6549999999997</v>
      </c>
      <c r="AF17" s="410">
        <v>-4586.5149999999994</v>
      </c>
    </row>
    <row r="18" spans="2:32" x14ac:dyDescent="0.6">
      <c r="B18" s="20" t="s">
        <v>353</v>
      </c>
      <c r="C18" s="734"/>
      <c r="D18" s="734"/>
      <c r="E18" s="734"/>
      <c r="F18" s="734"/>
      <c r="G18" s="734"/>
      <c r="H18" s="734">
        <f>SUM(H14:H17)</f>
        <v>-6510.9364600881763</v>
      </c>
      <c r="I18" s="734">
        <f>SUM(I14:I17)</f>
        <v>-8027.4623036878456</v>
      </c>
      <c r="J18" s="734">
        <f>SUM(J14:J17)</f>
        <v>-9602.0218920537864</v>
      </c>
      <c r="K18" s="734">
        <f>SUM(K14:K17)</f>
        <v>-10597.027172395497</v>
      </c>
      <c r="L18" s="734">
        <f>SUM(L14:L17)</f>
        <v>-11642.028584948857</v>
      </c>
      <c r="M18" s="734"/>
      <c r="N18" s="734">
        <f>N14+N15+N16+N17</f>
        <v>-6355.0381594885203</v>
      </c>
      <c r="O18" s="734">
        <f>O14+O15+O16+O17</f>
        <v>-8145.123702936673</v>
      </c>
      <c r="P18" s="734">
        <f>P14+P15+P16+P17</f>
        <v>-10011.002290446802</v>
      </c>
      <c r="Q18" s="734">
        <f>Q14+Q15+Q16+Q17</f>
        <v>-12081.552756897632</v>
      </c>
      <c r="R18" s="734">
        <f>R14+R15+R16+R17</f>
        <v>-14290.170372623148</v>
      </c>
      <c r="S18" s="734"/>
      <c r="T18" s="735">
        <f t="shared" si="5"/>
        <v>2.4531449959413587E-2</v>
      </c>
      <c r="U18" s="735">
        <f t="shared" si="5"/>
        <v>-1.4445624589643158E-2</v>
      </c>
      <c r="V18" s="735">
        <f t="shared" si="5"/>
        <v>-4.0853092080829323E-2</v>
      </c>
      <c r="W18" s="735">
        <f t="shared" si="5"/>
        <v>-0.12287539643069356</v>
      </c>
      <c r="X18" s="735">
        <f t="shared" si="5"/>
        <v>-0.18531212145290821</v>
      </c>
      <c r="Z18" s="735">
        <f t="shared" si="6"/>
        <v>-4.2789791507797048E-2</v>
      </c>
      <c r="AA18" s="735">
        <f t="shared" si="6"/>
        <v>2.053602179845182E-3</v>
      </c>
      <c r="AB18" s="735">
        <f t="shared" si="6"/>
        <v>9.7986548480228475E-2</v>
      </c>
      <c r="AD18" s="734">
        <v>-6801.9922921049911</v>
      </c>
      <c r="AE18" s="734">
        <v>-8011.0108742936336</v>
      </c>
      <c r="AF18" s="734">
        <v>-8745.1179664672291</v>
      </c>
    </row>
    <row r="19" spans="2:32" x14ac:dyDescent="0.6">
      <c r="T19" s="20"/>
      <c r="U19" s="20"/>
      <c r="V19" s="20"/>
      <c r="W19" s="20"/>
      <c r="X19" s="20"/>
    </row>
    <row r="20" spans="2:32" x14ac:dyDescent="0.6">
      <c r="B20" s="20" t="s">
        <v>414</v>
      </c>
      <c r="C20" s="734"/>
      <c r="D20" s="734"/>
      <c r="E20" s="734"/>
      <c r="F20" s="734"/>
      <c r="G20" s="734"/>
      <c r="H20" s="734">
        <f t="shared" ref="H20:J20" si="7">H6+H14</f>
        <v>7258.7806475785455</v>
      </c>
      <c r="I20" s="734">
        <f t="shared" si="7"/>
        <v>9340.7401813328161</v>
      </c>
      <c r="J20" s="734">
        <f t="shared" si="7"/>
        <v>11670.45414026531</v>
      </c>
      <c r="K20" s="734">
        <f t="shared" ref="K20:L20" si="8">K6+K14</f>
        <v>13679.248162443488</v>
      </c>
      <c r="L20" s="734">
        <f t="shared" si="8"/>
        <v>15300.474845438712</v>
      </c>
      <c r="N20" s="734">
        <f t="shared" ref="N20:P20" si="9">N6+N14</f>
        <v>7574.4545217600908</v>
      </c>
      <c r="O20" s="734">
        <f t="shared" si="9"/>
        <v>9976.4994558809994</v>
      </c>
      <c r="P20" s="734">
        <f t="shared" si="9"/>
        <v>12908.616329463439</v>
      </c>
      <c r="Q20" s="734">
        <f t="shared" ref="Q20:R20" si="10">Q6+Q14</f>
        <v>15873.297491122541</v>
      </c>
      <c r="R20" s="734">
        <f t="shared" si="10"/>
        <v>18694.042854858621</v>
      </c>
      <c r="T20" s="234">
        <f>H20/N20-1</f>
        <v>-4.1676119814921253E-2</v>
      </c>
      <c r="U20" s="234">
        <f>I20/O20-1</f>
        <v>-6.3725686285023841E-2</v>
      </c>
      <c r="V20" s="234">
        <f>J20/P20-1</f>
        <v>-9.5917498637872578E-2</v>
      </c>
      <c r="W20" s="234">
        <f>K20/Q20-1</f>
        <v>-0.13822265536862266</v>
      </c>
      <c r="X20" s="234">
        <f>L20/R20-1</f>
        <v>-0.18153205466402966</v>
      </c>
      <c r="Z20" s="735">
        <f>H20/AD20-1</f>
        <v>1.9227113989423561E-2</v>
      </c>
      <c r="AA20" s="735">
        <f>I20/AE20-1</f>
        <v>-4.2298635760397163E-3</v>
      </c>
      <c r="AB20" s="735">
        <f>J20/AF20-1</f>
        <v>1.7428091330234041E-2</v>
      </c>
      <c r="AD20" s="734">
        <v>7121.8480630548347</v>
      </c>
      <c r="AE20" s="734">
        <v>9380.4180700553679</v>
      </c>
      <c r="AF20" s="734">
        <v>11470.544444086267</v>
      </c>
    </row>
    <row r="21" spans="2:32" x14ac:dyDescent="0.6">
      <c r="T21" s="20"/>
      <c r="U21" s="20"/>
      <c r="V21" s="20"/>
      <c r="W21" s="20"/>
      <c r="X21" s="20"/>
    </row>
    <row r="22" spans="2:32" x14ac:dyDescent="0.6">
      <c r="B22" s="20" t="s">
        <v>408</v>
      </c>
      <c r="C22" s="734"/>
      <c r="D22" s="734"/>
      <c r="E22" s="734"/>
      <c r="F22" s="734"/>
      <c r="G22" s="734"/>
      <c r="H22" s="734">
        <f>Master!I15</f>
        <v>5446.7243511299548</v>
      </c>
      <c r="I22" s="734">
        <f>Master!J15</f>
        <v>7216.4033643099556</v>
      </c>
      <c r="J22" s="734">
        <f>Master!K15</f>
        <v>9108.8612880607488</v>
      </c>
      <c r="K22" s="734">
        <f>Master!L15</f>
        <v>11237.940559285704</v>
      </c>
      <c r="L22" s="734">
        <f>Master!M15</f>
        <v>12953.297584549677</v>
      </c>
      <c r="M22" s="734"/>
      <c r="N22" s="734">
        <f>N9+SUM(N14:N17)</f>
        <v>5480.634645129956</v>
      </c>
      <c r="O22" s="734">
        <f>O9+SUM(O14:O17)</f>
        <v>7276.6956442585488</v>
      </c>
      <c r="P22" s="734">
        <f>P9+SUM(P14:P17)</f>
        <v>9531.1037055203487</v>
      </c>
      <c r="Q22" s="734">
        <f>Q9+SUM(Q14:Q17)</f>
        <v>11987.120014064258</v>
      </c>
      <c r="R22" s="734">
        <f>R9+SUM(R14:R17)</f>
        <v>14380.527630736267</v>
      </c>
      <c r="S22" s="734"/>
      <c r="T22" s="735">
        <f>H22/N22-1</f>
        <v>-6.1872932964311955E-3</v>
      </c>
      <c r="U22" s="735">
        <f>I22/O22-1</f>
        <v>-8.2856674095150851E-3</v>
      </c>
      <c r="V22" s="735">
        <f>J22/P22-1</f>
        <v>-4.4301523779983643E-2</v>
      </c>
      <c r="W22" s="735">
        <f>K22/Q22-1</f>
        <v>-6.2498703099623243E-2</v>
      </c>
      <c r="X22" s="735">
        <f>L22/R22-1</f>
        <v>-9.9247404743070478E-2</v>
      </c>
      <c r="Z22" s="735">
        <f>H22/AD22-1</f>
        <v>8.2733723348958232E-2</v>
      </c>
      <c r="AA22" s="735">
        <f>I22/AE22-1</f>
        <v>1.4049254391149901E-2</v>
      </c>
      <c r="AB22" s="735">
        <f>J22/AF22-1</f>
        <v>-4.1852624336064292E-2</v>
      </c>
      <c r="AD22" s="734">
        <v>5030.5298834536352</v>
      </c>
      <c r="AE22" s="734">
        <v>7116.4229282361539</v>
      </c>
      <c r="AF22" s="734">
        <v>9506.7434503474815</v>
      </c>
    </row>
    <row r="23" spans="2:32" x14ac:dyDescent="0.6">
      <c r="B23" s="20" t="s">
        <v>371</v>
      </c>
      <c r="C23" s="367"/>
      <c r="D23" s="367"/>
      <c r="E23" s="367"/>
      <c r="F23" s="367"/>
      <c r="G23" s="367"/>
      <c r="H23" s="367">
        <f t="shared" ref="H23:J23" si="11">H22/H9</f>
        <v>0.45550082387519197</v>
      </c>
      <c r="I23" s="367">
        <f t="shared" si="11"/>
        <v>0.47339720261768686</v>
      </c>
      <c r="J23" s="367">
        <f t="shared" si="11"/>
        <v>0.48682155729246507</v>
      </c>
      <c r="K23" s="367">
        <f t="shared" ref="K23:L23" si="12">K22/K9</f>
        <v>0.51467630716853041</v>
      </c>
      <c r="L23" s="367">
        <f t="shared" si="12"/>
        <v>0.52665687355728108</v>
      </c>
      <c r="M23" s="734"/>
      <c r="N23" s="367">
        <f t="shared" ref="N23" si="13">N22/N9</f>
        <v>0.4630606756036143</v>
      </c>
      <c r="O23" s="367">
        <f t="shared" ref="O23" si="14">O22/O9</f>
        <v>0.4718441761271161</v>
      </c>
      <c r="P23" s="367">
        <f t="shared" ref="P23:Q23" si="15">P22/P9</f>
        <v>0.48772142099153776</v>
      </c>
      <c r="Q23" s="367">
        <f t="shared" si="15"/>
        <v>0.49803826443335703</v>
      </c>
      <c r="R23" s="367">
        <f t="shared" ref="R23" si="16">R22/R9</f>
        <v>0.50157577708960088</v>
      </c>
      <c r="S23" s="734"/>
      <c r="T23" s="735"/>
      <c r="U23" s="735"/>
      <c r="V23" s="735"/>
      <c r="W23" s="735"/>
      <c r="X23" s="735"/>
      <c r="AD23" s="367">
        <v>0.42514434444456373</v>
      </c>
      <c r="AE23" s="367">
        <v>0.47043160268505435</v>
      </c>
      <c r="AF23" s="367">
        <v>0.52086432354725742</v>
      </c>
    </row>
    <row r="25" spans="2:32" x14ac:dyDescent="0.6">
      <c r="B25" t="s">
        <v>1325</v>
      </c>
      <c r="C25" s="83"/>
      <c r="D25" s="83"/>
      <c r="E25" s="83"/>
      <c r="F25" s="83"/>
      <c r="G25" s="83"/>
      <c r="H25" s="83">
        <f>H27-H22</f>
        <v>-2593.4254625444614</v>
      </c>
      <c r="I25" s="83">
        <f>I27-I22</f>
        <v>-3008.4291239157883</v>
      </c>
      <c r="J25" s="83">
        <f>J27-J22</f>
        <v>-3491.8149493300953</v>
      </c>
      <c r="K25" s="83">
        <f>K27-K22</f>
        <v>-3937.9687613718434</v>
      </c>
      <c r="L25" s="83">
        <f>L27-L22</f>
        <v>-4300.8119201270729</v>
      </c>
      <c r="N25" s="83">
        <f>N27-N22</f>
        <v>-2575.38792907574</v>
      </c>
      <c r="O25" s="83">
        <f>O27-O22</f>
        <v>-3033.5356756180599</v>
      </c>
      <c r="P25" s="83">
        <f>P27-P22</f>
        <v>-3621.9182784310997</v>
      </c>
      <c r="Q25" s="83">
        <f>Q27-Q22</f>
        <v>-4354.0523765900252</v>
      </c>
      <c r="R25" s="83">
        <f>R27-R22</f>
        <v>-5133.1845318362411</v>
      </c>
      <c r="T25" s="234">
        <f>H25/N25-1</f>
        <v>7.0038122276960824E-3</v>
      </c>
      <c r="U25" s="234">
        <f>I25/O25-1</f>
        <v>-8.2763330934475521E-3</v>
      </c>
      <c r="V25" s="234">
        <f>J25/P25-1</f>
        <v>-3.5921111162497299E-2</v>
      </c>
      <c r="W25" s="234">
        <f>K25/Q25-1</f>
        <v>-9.5562381714858313E-2</v>
      </c>
      <c r="X25" s="234">
        <f>L25/R25-1</f>
        <v>-0.16215520921695992</v>
      </c>
      <c r="AD25" s="83">
        <v>-2588.5345436118391</v>
      </c>
      <c r="AE25" s="83">
        <v>-3154.3747132850249</v>
      </c>
      <c r="AF25" s="83">
        <v>-3645.8892886428785</v>
      </c>
    </row>
    <row r="27" spans="2:32" x14ac:dyDescent="0.6">
      <c r="B27" t="s">
        <v>476</v>
      </c>
      <c r="C27" s="83">
        <f>Master!H53</f>
        <v>1541</v>
      </c>
      <c r="D27" s="83"/>
      <c r="E27" s="83"/>
      <c r="F27" s="83"/>
      <c r="H27" s="83">
        <f>Master!I53</f>
        <v>2853.2988885854934</v>
      </c>
      <c r="I27" s="83">
        <f>Master!J53</f>
        <v>4207.9742403941673</v>
      </c>
      <c r="J27" s="83">
        <f>Master!K53</f>
        <v>5617.0463387306536</v>
      </c>
      <c r="K27" s="83">
        <f>Master!L53</f>
        <v>7299.9717979138604</v>
      </c>
      <c r="L27" s="83">
        <f>Master!M53</f>
        <v>8652.4856644226038</v>
      </c>
      <c r="M27" s="83"/>
      <c r="N27" s="83" cm="1">
        <f t="array" ref="N27">_xll.VAData("NU_BR",N1, "Income/(loss) before income taxes", "Consensus", "CD", "IMPL","","")</f>
        <v>2905.246716054216</v>
      </c>
      <c r="O27" s="83" cm="1">
        <f t="array" ref="O27">_xll.VAData("NU_BR",O1, "Income/(loss) before income taxes", "Consensus", "CD", "IMPL","","")</f>
        <v>4243.1599686404888</v>
      </c>
      <c r="P27" s="83" cm="1">
        <f t="array" ref="P27">_xll.VAData("NU_BR",P1, "Income/(loss) before income taxes", "Consensus", "CD", "IMPL","","")</f>
        <v>5909.1854270892491</v>
      </c>
      <c r="Q27" s="83" cm="1">
        <f t="array" ref="Q27">_xll.VAData("NU_BR",Q1, "Income/(loss) before income taxes", "Consensus", "CD", "IMPL","","")</f>
        <v>7633.0676374742325</v>
      </c>
      <c r="R27" s="83" cm="1">
        <f t="array" ref="R27">_xll.VAData("NU_BR",R1, "Income/(loss) before income taxes", "Consensus", "CD", "IMPL","","")</f>
        <v>9247.3430989000262</v>
      </c>
      <c r="S27" s="83"/>
      <c r="T27" s="234">
        <f>H27/N27-1</f>
        <v>-1.7880693980880213E-2</v>
      </c>
      <c r="U27" s="234">
        <f>I27/O27-1</f>
        <v>-8.292340733407455E-3</v>
      </c>
      <c r="V27" s="234">
        <f>J27/P27-1</f>
        <v>-4.943813186490198E-2</v>
      </c>
      <c r="W27" s="234">
        <f>K27/Q27-1</f>
        <v>-4.3638528489522543E-2</v>
      </c>
      <c r="X27" s="234">
        <f>L27/R27-1</f>
        <v>-6.4327388755390791E-2</v>
      </c>
      <c r="AD27" s="83">
        <v>2441.9953398417961</v>
      </c>
      <c r="AE27" s="83">
        <v>3962.048214951129</v>
      </c>
      <c r="AF27" s="83">
        <v>5860.854161704603</v>
      </c>
    </row>
    <row r="28" spans="2:32" x14ac:dyDescent="0.6">
      <c r="N28" s="83"/>
      <c r="O28" s="83"/>
      <c r="P28" s="83"/>
      <c r="Q28" s="83"/>
      <c r="R28" s="83"/>
    </row>
    <row r="29" spans="2:32" x14ac:dyDescent="0.6">
      <c r="B29" s="20" t="s">
        <v>1437</v>
      </c>
      <c r="C29" s="734">
        <f>Master!H62</f>
        <v>1033</v>
      </c>
      <c r="D29" s="734"/>
      <c r="E29" s="734"/>
      <c r="F29" s="734"/>
      <c r="H29" s="734">
        <f>Master!I62</f>
        <v>1941.3195554341974</v>
      </c>
      <c r="I29" s="734">
        <f>Master!J62</f>
        <v>2819.342741064092</v>
      </c>
      <c r="J29" s="734">
        <f>Master!K62</f>
        <v>3763.4210469495379</v>
      </c>
      <c r="K29" s="734">
        <f>Master!L62</f>
        <v>4817.981386623147</v>
      </c>
      <c r="L29" s="734">
        <f>Master!M62</f>
        <v>5710.6405385189182</v>
      </c>
      <c r="M29" s="734"/>
      <c r="N29" s="734" cm="1">
        <f t="array" ref="N29">_xll.VAData("NU_BR", N$1, "Income/(Loss) from Continuing Operations", "Consensus", "CD", "IMPL","","")</f>
        <v>1940.0711350569131</v>
      </c>
      <c r="O29" s="734" cm="1">
        <f t="array" ref="O29">_xll.VAData("NU_BR", O$1, "Income/(Loss) from Continuing Operations", "Consensus", "CD", "IMPL","","")</f>
        <v>2848.6879374874597</v>
      </c>
      <c r="P29" s="734" cm="1">
        <f t="array" ref="P29">_xll.VAData("NU_BR", P$1, "Income/(Loss) from Continuing Operations", "Consensus", "CD", "IMPL","","")</f>
        <v>3940.6997138230049</v>
      </c>
      <c r="Q29" s="734" cm="1">
        <f t="array" ref="Q29">_xll.VAData("NU_BR", Q$1, "Income/(Loss) from Continuing Operations", "Consensus", "CD", "IMPL","","")</f>
        <v>5180.0103394956332</v>
      </c>
      <c r="R29" s="734" cm="1">
        <f t="array" ref="R29">_xll.VAData("NU_BR", R$1, "Income/(Loss) from Continuing Operations", "Consensus", "CD", "IMPL","","")</f>
        <v>6166.0469969260166</v>
      </c>
      <c r="S29" s="734"/>
      <c r="T29" s="735">
        <f>H29/N29-1</f>
        <v>6.4349206311331564E-4</v>
      </c>
      <c r="U29" s="735">
        <f>I29/O29-1</f>
        <v>-1.0301302588183847E-2</v>
      </c>
      <c r="V29" s="735">
        <f>J29/P29-1</f>
        <v>-4.4986596225948694E-2</v>
      </c>
      <c r="W29" s="735">
        <f>K29/Q29-1</f>
        <v>-6.9889619739202269E-2</v>
      </c>
      <c r="X29" s="735">
        <f>L29/R29-1</f>
        <v>-7.3857117636977776E-2</v>
      </c>
      <c r="AD29" s="734">
        <v>1532.598601952539</v>
      </c>
      <c r="AE29" s="734">
        <v>2654.5723040172561</v>
      </c>
      <c r="AF29" s="734">
        <v>3926.7722883420838</v>
      </c>
    </row>
    <row r="30" spans="2:32" x14ac:dyDescent="0.6">
      <c r="B30" s="20" t="s">
        <v>371</v>
      </c>
      <c r="C30" s="367"/>
      <c r="D30" s="367"/>
      <c r="E30" s="367"/>
      <c r="F30" s="367"/>
      <c r="G30" s="367"/>
      <c r="H30" s="367">
        <f>H29/H9</f>
        <v>0.16234944159086198</v>
      </c>
      <c r="I30" s="367">
        <f>I29/I9</f>
        <v>0.18494932994475785</v>
      </c>
      <c r="J30" s="367">
        <f>J29/J9</f>
        <v>0.20113540396367868</v>
      </c>
      <c r="K30" s="367">
        <f>K29/K9</f>
        <v>0.22065438547145416</v>
      </c>
      <c r="L30" s="367">
        <f>L29/L9</f>
        <v>0.23218397264439899</v>
      </c>
      <c r="M30" s="734"/>
      <c r="N30" s="367">
        <f>N29/N9</f>
        <v>0.16391726664662992</v>
      </c>
      <c r="O30" s="367">
        <f>O29/O9</f>
        <v>0.18471802018648031</v>
      </c>
      <c r="P30" s="367">
        <f>P29/P9</f>
        <v>0.2016517418663186</v>
      </c>
      <c r="Q30" s="367">
        <f>Q29/Q9</f>
        <v>0.21521794694658675</v>
      </c>
      <c r="R30" s="367">
        <f>R29/R9</f>
        <v>0.21506441859920974</v>
      </c>
      <c r="S30" s="734"/>
      <c r="T30" s="734"/>
      <c r="U30" s="734"/>
      <c r="V30" s="734"/>
      <c r="W30" s="734"/>
      <c r="X30" s="734"/>
      <c r="AD30" s="367">
        <v>0.12952425351192576</v>
      </c>
      <c r="AE30" s="367">
        <v>0.17548067561686023</v>
      </c>
      <c r="AF30" s="367">
        <v>0.2151436611678689</v>
      </c>
    </row>
    <row r="31" spans="2:32" x14ac:dyDescent="0.6">
      <c r="B31" s="20" t="s">
        <v>1438</v>
      </c>
      <c r="C31" s="734">
        <f>Master!H66</f>
        <v>1196.5</v>
      </c>
      <c r="D31" s="734"/>
      <c r="E31" s="734"/>
      <c r="F31" s="734"/>
      <c r="H31" s="734">
        <f>Master!I66</f>
        <v>2186.5695554341974</v>
      </c>
      <c r="I31" s="734">
        <f>Master!J66</f>
        <v>3150.4302410640921</v>
      </c>
      <c r="J31" s="734">
        <f>Master!K66</f>
        <v>4111.0629219495377</v>
      </c>
      <c r="K31" s="734">
        <f>Master!L66</f>
        <v>5183.0053553731468</v>
      </c>
      <c r="L31" s="734">
        <f>Master!M66</f>
        <v>6093.9157057064185</v>
      </c>
      <c r="M31" s="734"/>
      <c r="N31" s="734" cm="1">
        <f t="array" ref="N31">_xll.VAData("NU_BR",N$1, "Net income/(loss) - Operating", "Consensus", "CD", "IMPL","","")</f>
        <v>2213.0874224409986</v>
      </c>
      <c r="O31" s="734" cm="1">
        <f t="array" ref="O31">_xll.VAData("NU_BR",O$1, "Net income/(loss) - Operating", "Consensus", "CD", "IMPL","","")</f>
        <v>3184.6322213134949</v>
      </c>
      <c r="P31" s="734" cm="1">
        <f t="array" ref="P31">_xll.VAData("NU_BR",P$1, "Net income/(loss) - Operating", "Consensus", "CD", "IMPL","","")</f>
        <v>4409.093031264325</v>
      </c>
      <c r="Q31" s="734" cm="1">
        <f t="array" ref="Q31">_xll.VAData("NU_BR",Q$1, "Net income/(loss) - Operating", "Consensus", "CD", "IMPL","","")</f>
        <v>5589.8781376874667</v>
      </c>
      <c r="R31" s="734" cm="1">
        <f t="array" ref="R31">_xll.VAData("NU_BR",R$1, "Net income/(loss) - Operating", "Consensus", "CD", "IMPL","","")</f>
        <v>6911.0311994457079</v>
      </c>
      <c r="S31" s="734"/>
      <c r="T31" s="735">
        <f>H31/N31-1</f>
        <v>-1.1982295293853529E-2</v>
      </c>
      <c r="U31" s="735">
        <f>I31/O31-1</f>
        <v>-1.0739695472683608E-2</v>
      </c>
      <c r="V31" s="735">
        <f>J31/P31-1</f>
        <v>-6.7594425248343137E-2</v>
      </c>
      <c r="W31" s="735">
        <f>K31/Q31-1</f>
        <v>-7.278741544849554E-2</v>
      </c>
      <c r="X31" s="735">
        <f>L31/R31-1</f>
        <v>-0.11823351250459202</v>
      </c>
      <c r="AD31" s="734">
        <v>1777.848601952539</v>
      </c>
      <c r="AE31" s="734">
        <v>2985.6598040172562</v>
      </c>
      <c r="AF31" s="734">
        <v>4274.4141633420841</v>
      </c>
    </row>
    <row r="33" spans="2:32" x14ac:dyDescent="0.6">
      <c r="B33" s="411" t="s">
        <v>729</v>
      </c>
    </row>
    <row r="34" spans="2:32" x14ac:dyDescent="0.6">
      <c r="B34" t="s">
        <v>728</v>
      </c>
      <c r="C34" s="83">
        <f>Master!H193</f>
        <v>12414</v>
      </c>
      <c r="D34" s="83"/>
      <c r="E34" s="83"/>
      <c r="F34" s="83"/>
      <c r="G34" s="83"/>
      <c r="H34" s="83">
        <f>Master!I193</f>
        <v>13815.930217466615</v>
      </c>
      <c r="I34" s="83">
        <f>Master!J193</f>
        <v>17490.813710703274</v>
      </c>
      <c r="J34" s="83">
        <f>Master!K193</f>
        <v>21805.308328756375</v>
      </c>
      <c r="K34" s="83">
        <f>Master!L193</f>
        <v>25921.98551539487</v>
      </c>
      <c r="L34" s="83">
        <f>Master!M193</f>
        <v>29918.191918067936</v>
      </c>
      <c r="M34" s="83"/>
      <c r="N34" s="83" cm="1">
        <f t="array" ref="N34">_xll.VAData("NU_BR", N1, "Credit card loans - net", "Consensus", "CD", "IMPL","","")</f>
        <v>15938.014538410611</v>
      </c>
      <c r="O34" s="83" cm="1">
        <f t="array" ref="O34">_xll.VAData("NU_BR", O1, "Credit card loans - net", "Consensus", "CD", "IMPL","","")</f>
        <v>21455.142357049499</v>
      </c>
      <c r="P34" s="83" cm="1">
        <f t="array" ref="P34">_xll.VAData("NU_BR", P1, "Credit card loans - net", "Consensus", "CD", "IMPL","","")</f>
        <v>26806.425230231103</v>
      </c>
      <c r="Q34" s="83" cm="1">
        <f t="array" ref="Q34">_xll.VAData("NU_BR", Q1, "Credit card loans - net", "Consensus", "CD", "IMPL","","")</f>
        <v>28142.576452890578</v>
      </c>
      <c r="R34" s="83" cm="1">
        <f t="array" ref="R34">_xll.VAData("NU_BR", R1, "Credit card loans - net", "Consensus", "CD", "IMPL","","")</f>
        <v>33796.113009375869</v>
      </c>
      <c r="S34" s="83"/>
      <c r="T34" s="735">
        <f t="shared" ref="T34:X37" si="17">H34/N34-1</f>
        <v>-0.13314609017514523</v>
      </c>
      <c r="U34" s="735">
        <f t="shared" si="17"/>
        <v>-0.18477288942544201</v>
      </c>
      <c r="V34" s="735">
        <f t="shared" si="17"/>
        <v>-0.18656411134725603</v>
      </c>
      <c r="W34" s="735">
        <f t="shared" si="17"/>
        <v>-7.8905033489484522E-2</v>
      </c>
      <c r="X34" s="735">
        <f t="shared" si="17"/>
        <v>-0.11474458882984861</v>
      </c>
      <c r="AD34" s="83">
        <v>16236.035898441874</v>
      </c>
      <c r="AE34" s="83">
        <v>21792.784494575266</v>
      </c>
      <c r="AF34" s="83">
        <v>27004.307363668213</v>
      </c>
    </row>
    <row r="35" spans="2:32" x14ac:dyDescent="0.6">
      <c r="B35" t="s">
        <v>793</v>
      </c>
      <c r="C35" s="83">
        <f>Master!H194</f>
        <v>3202</v>
      </c>
      <c r="D35" s="83"/>
      <c r="E35" s="83"/>
      <c r="F35" s="83"/>
      <c r="G35" s="83"/>
      <c r="H35" s="83">
        <f>Master!I194</f>
        <v>5115.5955553122285</v>
      </c>
      <c r="I35" s="83">
        <f>Master!J194</f>
        <v>7120.1529412615355</v>
      </c>
      <c r="J35" s="83">
        <f>Master!K194</f>
        <v>9275.6117367715942</v>
      </c>
      <c r="K35" s="83">
        <f>Master!L194</f>
        <v>11794.858215714314</v>
      </c>
      <c r="L35" s="83">
        <f>Master!M194</f>
        <v>14389.587426944578</v>
      </c>
      <c r="M35" s="83"/>
      <c r="N35" s="83" cm="1">
        <f t="array" ref="N35">_xll.VAData("NU_BR", N1, "Other consumer loans - net", "Consensus", "CD", "IMPL","","")-N36</f>
        <v>5213.9468714909472</v>
      </c>
      <c r="O35" s="83" cm="1">
        <f t="array" ref="O35">_xll.VAData("NU_BR", O1, "Other consumer loans - net", "Consensus", "CD", "IMPL","","")-O36</f>
        <v>7049.5274502978873</v>
      </c>
      <c r="P35" s="83" cm="1">
        <f t="array" ref="P35">_xll.VAData("NU_BR", P1, "Other consumer loans - net", "Consensus", "CD", "IMPL","","")-P36</f>
        <v>8159.5752572852525</v>
      </c>
      <c r="Q35" s="83" cm="1">
        <f t="array" ref="Q35">_xll.VAData("NU_BR", Q1, "Other consumer loans - net", "Consensus", "CD", "IMPL","","")-Q36</f>
        <v>11412.659474406526</v>
      </c>
      <c r="R35" s="83" cm="1">
        <f t="array" ref="R35">_xll.VAData("NU_BR", R1, "Other consumer loans - net", "Consensus", "CD", "IMPL","","")-R36</f>
        <v>14283.090659621563</v>
      </c>
      <c r="S35" s="83"/>
      <c r="T35" s="234">
        <f t="shared" si="17"/>
        <v>-1.8863122046081537E-2</v>
      </c>
      <c r="U35" s="234">
        <f t="shared" si="17"/>
        <v>1.0018471658077344E-2</v>
      </c>
      <c r="V35" s="234">
        <f t="shared" si="17"/>
        <v>0.13677629586048523</v>
      </c>
      <c r="W35" s="234">
        <f t="shared" si="17"/>
        <v>3.3489016487777246E-2</v>
      </c>
      <c r="X35" s="234">
        <f t="shared" si="17"/>
        <v>7.4561430618151903E-3</v>
      </c>
      <c r="AD35" s="83">
        <v>5099.1729215138894</v>
      </c>
      <c r="AE35" s="83">
        <v>7176.1878309950225</v>
      </c>
      <c r="AF35" s="83">
        <v>9370.9273589331297</v>
      </c>
    </row>
    <row r="36" spans="2:32" x14ac:dyDescent="0.6">
      <c r="B36" t="s">
        <v>1324</v>
      </c>
      <c r="C36" s="83">
        <f>Master!H195</f>
        <v>0</v>
      </c>
      <c r="D36" s="83"/>
      <c r="E36" s="83"/>
      <c r="F36" s="83"/>
      <c r="G36" s="83"/>
      <c r="H36" s="83">
        <f>Master!I195</f>
        <v>160.2355503920999</v>
      </c>
      <c r="I36" s="83">
        <f>Master!J195</f>
        <v>1249.8949317455706</v>
      </c>
      <c r="J36" s="83">
        <f>Master!K195</f>
        <v>3310.5116214057502</v>
      </c>
      <c r="K36" s="83">
        <f>Master!L195</f>
        <v>5282.6402937481844</v>
      </c>
      <c r="L36" s="83">
        <f>Master!M195</f>
        <v>6822.2754244408952</v>
      </c>
      <c r="M36" s="83"/>
      <c r="N36" s="1221">
        <f>H36</f>
        <v>160.2355503920999</v>
      </c>
      <c r="O36" s="1221">
        <f>I36</f>
        <v>1249.8949317455706</v>
      </c>
      <c r="P36" s="1221">
        <f>J36</f>
        <v>3310.5116214057502</v>
      </c>
      <c r="Q36" s="1221">
        <f>K36</f>
        <v>5282.6402937481844</v>
      </c>
      <c r="R36" s="1221">
        <f>L36</f>
        <v>6822.2754244408952</v>
      </c>
      <c r="S36" s="83"/>
      <c r="T36" s="234">
        <f t="shared" si="17"/>
        <v>0</v>
      </c>
      <c r="U36" s="234">
        <f t="shared" si="17"/>
        <v>0</v>
      </c>
      <c r="V36" s="234">
        <f t="shared" si="17"/>
        <v>0</v>
      </c>
      <c r="W36" s="234">
        <f t="shared" si="17"/>
        <v>0</v>
      </c>
      <c r="X36" s="234">
        <f t="shared" si="17"/>
        <v>0</v>
      </c>
      <c r="AD36" s="83">
        <v>533.14260819053152</v>
      </c>
      <c r="AE36" s="83">
        <v>1864.752425210572</v>
      </c>
      <c r="AF36" s="83">
        <v>3529.1255554748759</v>
      </c>
    </row>
    <row r="37" spans="2:32" x14ac:dyDescent="0.6">
      <c r="B37" s="20" t="s">
        <v>730</v>
      </c>
      <c r="C37" s="734">
        <f>SUM(C34:C36)</f>
        <v>15616</v>
      </c>
      <c r="D37" s="734"/>
      <c r="E37" s="734"/>
      <c r="F37" s="734"/>
      <c r="G37" s="734"/>
      <c r="H37" s="734">
        <f>SUM(H34:H36)</f>
        <v>19091.761323170944</v>
      </c>
      <c r="I37" s="734">
        <f>SUM(I34:I36)</f>
        <v>25860.861583710379</v>
      </c>
      <c r="J37" s="734">
        <f>SUM(J34:J36)</f>
        <v>34391.43168693372</v>
      </c>
      <c r="K37" s="734">
        <f>SUM(K34:K36)</f>
        <v>42999.484024857367</v>
      </c>
      <c r="L37" s="734">
        <f>SUM(L34:L36)</f>
        <v>51130.054769453411</v>
      </c>
      <c r="M37" s="734"/>
      <c r="N37" s="734">
        <f>SUM(N34:N36)</f>
        <v>21312.196960293659</v>
      </c>
      <c r="O37" s="734">
        <f>SUM(O34:O36)</f>
        <v>29754.564739092955</v>
      </c>
      <c r="P37" s="734">
        <f>SUM(P34:P36)</f>
        <v>38276.512108922107</v>
      </c>
      <c r="Q37" s="734">
        <f>SUM(Q34:Q36)</f>
        <v>44837.876221045291</v>
      </c>
      <c r="R37" s="734">
        <f>SUM(R34:R36)</f>
        <v>54901.479093438327</v>
      </c>
      <c r="S37" s="734"/>
      <c r="T37" s="735">
        <f t="shared" si="17"/>
        <v>-0.10418614473484666</v>
      </c>
      <c r="U37" s="735">
        <f t="shared" si="17"/>
        <v>-0.13086069951031232</v>
      </c>
      <c r="V37" s="735">
        <f t="shared" si="17"/>
        <v>-0.10150037733147554</v>
      </c>
      <c r="W37" s="735">
        <f t="shared" si="17"/>
        <v>-4.1000875847126972E-2</v>
      </c>
      <c r="X37" s="735">
        <f t="shared" si="17"/>
        <v>-6.8694402887875317E-2</v>
      </c>
      <c r="AD37" s="734">
        <v>21868.351428146292</v>
      </c>
      <c r="AE37" s="734">
        <v>30833.724750780861</v>
      </c>
      <c r="AF37" s="734">
        <v>39904.360278076223</v>
      </c>
    </row>
    <row r="38" spans="2:32" x14ac:dyDescent="0.6">
      <c r="B38" t="s">
        <v>731</v>
      </c>
      <c r="C38" s="234"/>
      <c r="D38" s="234"/>
      <c r="E38" s="234"/>
      <c r="F38" s="234"/>
      <c r="G38" s="234"/>
      <c r="H38" s="234"/>
      <c r="I38" s="234">
        <f>I37/H37-1</f>
        <v>0.35455609076382255</v>
      </c>
      <c r="J38" s="234">
        <f>J37/I37-1</f>
        <v>0.32986411050576536</v>
      </c>
      <c r="K38" s="234">
        <f>K37/J37-1</f>
        <v>0.25029642314059553</v>
      </c>
      <c r="L38" s="234">
        <f>L37/K37-1</f>
        <v>0.18908530948640867</v>
      </c>
      <c r="M38" s="234"/>
      <c r="N38" s="234"/>
      <c r="O38" s="234">
        <f>O37/N37-1</f>
        <v>0.39612846083058018</v>
      </c>
      <c r="P38" s="234">
        <f>P37/O37-1</f>
        <v>0.28640806694888776</v>
      </c>
      <c r="Q38" s="234">
        <f>Q37/P37-1</f>
        <v>0.17142011512051414</v>
      </c>
      <c r="R38" s="234">
        <f>R37/Q37-1</f>
        <v>0.22444423600218477</v>
      </c>
      <c r="S38" s="234"/>
      <c r="T38" s="234"/>
      <c r="U38" s="234"/>
      <c r="V38" s="234"/>
      <c r="W38" s="234"/>
      <c r="X38" s="234"/>
      <c r="AD38" s="234"/>
      <c r="AE38" s="234">
        <v>0.40997024179405805</v>
      </c>
      <c r="AF38" s="234">
        <v>0.29417903936713485</v>
      </c>
    </row>
    <row r="39" spans="2:32" x14ac:dyDescent="0.6">
      <c r="C39" s="234"/>
      <c r="D39" s="234"/>
      <c r="E39" s="234"/>
      <c r="F39" s="234"/>
      <c r="G39" s="234"/>
      <c r="H39" s="234"/>
      <c r="I39" s="234"/>
      <c r="J39" s="234"/>
      <c r="K39" s="234"/>
      <c r="L39" s="234"/>
      <c r="M39" s="234"/>
      <c r="N39" s="234"/>
      <c r="O39" s="234"/>
      <c r="P39" s="234"/>
      <c r="Q39" s="234"/>
      <c r="R39" s="234"/>
      <c r="S39" s="234"/>
      <c r="T39" s="234"/>
      <c r="U39" s="234"/>
      <c r="V39" s="234"/>
      <c r="W39" s="234"/>
      <c r="X39" s="234"/>
      <c r="AD39" s="234"/>
      <c r="AE39" s="234"/>
      <c r="AF39" s="234"/>
    </row>
    <row r="40" spans="2:32" x14ac:dyDescent="0.6">
      <c r="C40" s="234"/>
      <c r="D40" s="234"/>
      <c r="E40" s="234"/>
      <c r="F40" s="234"/>
      <c r="G40" s="234"/>
      <c r="H40" s="234"/>
      <c r="I40" s="234"/>
      <c r="J40" s="234"/>
      <c r="K40" s="234"/>
      <c r="L40" s="234"/>
      <c r="M40" s="234"/>
      <c r="N40" s="234"/>
      <c r="O40" s="234"/>
      <c r="P40" s="234"/>
      <c r="Q40" s="234"/>
      <c r="R40" s="234"/>
      <c r="S40" s="234"/>
      <c r="T40" s="234"/>
      <c r="U40" s="234"/>
      <c r="V40" s="234"/>
      <c r="W40" s="234"/>
      <c r="X40" s="234"/>
      <c r="AD40" s="234"/>
      <c r="AE40" s="234"/>
      <c r="AF40" s="234"/>
    </row>
    <row r="41" spans="2:32" x14ac:dyDescent="0.6">
      <c r="B41" s="20" t="s">
        <v>47</v>
      </c>
      <c r="C41" s="734"/>
      <c r="D41" s="734"/>
      <c r="E41" s="734"/>
      <c r="F41" s="734"/>
      <c r="G41" s="734"/>
      <c r="H41" s="734">
        <f>Master!I212</f>
        <v>30085.70785426574</v>
      </c>
      <c r="I41" s="734">
        <f>Master!J212</f>
        <v>39152.93976490909</v>
      </c>
      <c r="J41" s="734">
        <f>Master!K212</f>
        <v>47027.602321753846</v>
      </c>
      <c r="K41" s="734">
        <f>Master!L212</f>
        <v>55730.132854490774</v>
      </c>
      <c r="L41" s="734">
        <f>Master!M212</f>
        <v>64725.171841531403</v>
      </c>
      <c r="M41" s="734"/>
      <c r="N41" s="734" cm="1">
        <f t="array" ref="N41">_xll.VAData("NU_BR", N1, "Total deposits", "Consensus", "CD", "IMPL","","")</f>
        <v>31152.041609740943</v>
      </c>
      <c r="O41" s="734" cm="1">
        <f t="array" ref="O41">_xll.VAData("NU_BR", O1, "Total deposits", "Consensus", "CD", "IMPL","","")</f>
        <v>41047.112487821469</v>
      </c>
      <c r="P41" s="734" cm="1">
        <f t="array" ref="P41">_xll.VAData("NU_BR", P1, "Total deposits", "Consensus", "CD", "IMPL","","")</f>
        <v>51189.282271099735</v>
      </c>
      <c r="Q41" s="734" cm="1">
        <f t="array" ref="Q41">_xll.VAData("NU_BR", Q1, "Total deposits", "Consensus", "CD", "IMPL","","")</f>
        <v>67441.307146764535</v>
      </c>
      <c r="R41" s="734" cm="1">
        <f t="array" ref="R41">_xll.VAData("NU_BR", R1, "Total deposits", "Consensus", "CD", "IMPL","","")</f>
        <v>81151.326958264457</v>
      </c>
      <c r="S41" s="734"/>
      <c r="T41" s="735">
        <f>H41/N41-1</f>
        <v>-3.4229979814285105E-2</v>
      </c>
      <c r="U41" s="735">
        <f>I41/O41-1</f>
        <v>-4.6146308670905301E-2</v>
      </c>
      <c r="V41" s="735">
        <f>J41/P41-1</f>
        <v>-8.1299830056329458E-2</v>
      </c>
      <c r="W41" s="735">
        <f>K41/Q41-1</f>
        <v>-0.17364987109143837</v>
      </c>
      <c r="X41" s="735">
        <f>L41/R41-1</f>
        <v>-0.20241388197115873</v>
      </c>
      <c r="AD41" s="734">
        <v>28549.725891608396</v>
      </c>
      <c r="AE41" s="734">
        <v>37091.495232692308</v>
      </c>
      <c r="AF41" s="734">
        <v>44705.012675192309</v>
      </c>
    </row>
    <row r="42" spans="2:32" x14ac:dyDescent="0.6">
      <c r="B42" t="s">
        <v>2181</v>
      </c>
      <c r="C42" s="234"/>
      <c r="D42" s="234"/>
      <c r="E42" s="234"/>
      <c r="F42" s="234"/>
      <c r="G42" s="234"/>
      <c r="H42" s="234">
        <f>H37/H41</f>
        <v>0.6345790970134676</v>
      </c>
      <c r="I42" s="234">
        <f>I37/I41</f>
        <v>0.66050880825271352</v>
      </c>
      <c r="J42" s="234">
        <f>J37/J41</f>
        <v>0.73130310687825695</v>
      </c>
      <c r="K42" s="234">
        <f>K37/K41</f>
        <v>0.77156614962909498</v>
      </c>
      <c r="L42" s="234">
        <f>L37/L41</f>
        <v>0.78995626144704056</v>
      </c>
      <c r="N42" s="234">
        <f t="shared" ref="N42:P42" si="18">N37/N41</f>
        <v>0.68413483864985403</v>
      </c>
      <c r="O42" s="234">
        <f t="shared" si="18"/>
        <v>0.72488813306711963</v>
      </c>
      <c r="P42" s="234">
        <f t="shared" si="18"/>
        <v>0.74774465299608484</v>
      </c>
      <c r="Q42" s="234">
        <f t="shared" ref="Q42:R42" si="19">Q37/Q41</f>
        <v>0.66484292962278935</v>
      </c>
      <c r="R42" s="234">
        <f t="shared" si="19"/>
        <v>0.67653211785031886</v>
      </c>
      <c r="AD42" s="234">
        <v>1.3055271214849167</v>
      </c>
      <c r="AE42" s="234">
        <v>1.2029521419319595</v>
      </c>
      <c r="AF42" s="234">
        <v>1.1203039558499976</v>
      </c>
    </row>
    <row r="43" spans="2:32" x14ac:dyDescent="0.6">
      <c r="B43" s="20" t="s">
        <v>425</v>
      </c>
      <c r="C43" s="367"/>
      <c r="D43" s="367"/>
      <c r="E43" s="367"/>
      <c r="F43" s="367"/>
      <c r="G43" s="367"/>
      <c r="H43" s="367"/>
      <c r="I43" s="367">
        <f>I6/AVERAGE(H37,I37)</f>
        <v>0.56959290280082331</v>
      </c>
      <c r="J43" s="367">
        <f>J6/AVERAGE(I37,J37)</f>
        <v>0.52036932438741246</v>
      </c>
      <c r="K43" s="367">
        <f>K6/AVERAGE(J37,K37)</f>
        <v>0.46904408148403237</v>
      </c>
      <c r="L43" s="367">
        <f>L6/AVERAGE(K37,L37)</f>
        <v>0.43456345054802464</v>
      </c>
      <c r="M43" s="20"/>
      <c r="N43" s="367"/>
      <c r="O43" s="367">
        <f>O6/AVERAGE(N37,O37)</f>
        <v>0.50181209767840729</v>
      </c>
      <c r="P43" s="367">
        <f>P6/AVERAGE(O37,P37)</f>
        <v>0.47777847413945296</v>
      </c>
      <c r="Q43" s="367">
        <f>Q6/AVERAGE(P37,Q37)</f>
        <v>0.47919617090768007</v>
      </c>
      <c r="R43" s="367">
        <f>R6/AVERAGE(Q37,R37)</f>
        <v>0.47345033866915986</v>
      </c>
      <c r="S43" s="20"/>
      <c r="T43" s="20"/>
      <c r="U43" s="20"/>
      <c r="V43" s="20"/>
      <c r="W43" s="20"/>
      <c r="X43" s="20"/>
      <c r="AD43" s="367"/>
      <c r="AE43" s="367">
        <v>0.47677434572767358</v>
      </c>
      <c r="AF43" s="367">
        <v>0.42778566368603788</v>
      </c>
    </row>
    <row r="45" spans="2:32" x14ac:dyDescent="0.6">
      <c r="B45" s="20" t="s">
        <v>78</v>
      </c>
      <c r="H45" s="734">
        <f>Master!I229</f>
        <v>8346.403555434199</v>
      </c>
      <c r="I45" s="734">
        <f>Master!J229</f>
        <v>11165.74629649829</v>
      </c>
      <c r="J45" s="734">
        <f>Master!K229</f>
        <v>14929.167343447827</v>
      </c>
      <c r="K45" s="734">
        <f>Master!L229</f>
        <v>16374.561759434773</v>
      </c>
      <c r="L45" s="734">
        <f>Master!M229</f>
        <v>18087.753920990446</v>
      </c>
      <c r="N45" s="1302">
        <f>_xll.VAData("NU_BR",N1,"Total stockholders equity","consensus.vaactuals")</f>
        <v>8046.0526885177187</v>
      </c>
      <c r="O45" s="1302">
        <f>_xll.VAData("NU_BR",O1,"Total stockholders equity","consensus.vaactuals")</f>
        <v>10906.370734428658</v>
      </c>
      <c r="P45" s="1302">
        <f>_xll.VAData("NU_BR",P1,"Total stockholders equity","consensus.vaactuals")</f>
        <v>14751.882229862924</v>
      </c>
      <c r="Q45" s="1302">
        <f>_xll.VAData("NU_BR",Q1,"Total stockholders equity","consensus.vaactuals")</f>
        <v>15721.127123558799</v>
      </c>
      <c r="R45" s="1302">
        <f>_xll.VAData("NU_BR",R1,"Total stockholders equity","consensus.vaactuals")</f>
        <v>18294.784524077899</v>
      </c>
    </row>
    <row r="46" spans="2:32" x14ac:dyDescent="0.6">
      <c r="B46" t="s">
        <v>1085</v>
      </c>
      <c r="H46" s="234">
        <f>H29/H45</f>
        <v>0.23259354074369407</v>
      </c>
      <c r="I46" s="234">
        <f t="shared" ref="I46:L46" si="20">I29/I45</f>
        <v>0.25249926571842951</v>
      </c>
      <c r="J46" s="234">
        <f t="shared" si="20"/>
        <v>0.2520851270785201</v>
      </c>
      <c r="K46" s="234">
        <f t="shared" si="20"/>
        <v>0.29423574550611098</v>
      </c>
      <c r="L46" s="234">
        <f t="shared" si="20"/>
        <v>0.31571861069449003</v>
      </c>
      <c r="N46" s="234">
        <f t="shared" ref="N46" si="21">N29/N45</f>
        <v>0.2411208589058248</v>
      </c>
      <c r="O46" s="234">
        <f t="shared" ref="O46" si="22">O29/O45</f>
        <v>0.26119485636911932</v>
      </c>
      <c r="P46" s="234">
        <f t="shared" ref="P46" si="23">P29/P45</f>
        <v>0.26713199389876247</v>
      </c>
      <c r="Q46" s="234">
        <f t="shared" ref="Q46:R46" si="24">Q29/Q45</f>
        <v>0.3294935724890336</v>
      </c>
      <c r="R46" s="234">
        <f t="shared" si="24"/>
        <v>0.33703851438156252</v>
      </c>
    </row>
    <row r="47" spans="2:32" x14ac:dyDescent="0.6">
      <c r="O47" s="1262">
        <f>N45+O29</f>
        <v>10894.740626005179</v>
      </c>
      <c r="P47" s="1262">
        <f>O45+P29</f>
        <v>14847.070448251663</v>
      </c>
      <c r="Q47" s="1262">
        <f>P45+Q29</f>
        <v>19931.892569358555</v>
      </c>
    </row>
    <row r="48" spans="2:32" x14ac:dyDescent="0.6">
      <c r="B48" s="20"/>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01F40-B733-4619-93BE-ECFA8BBDB352}">
  <dimension ref="A1:AU454"/>
  <sheetViews>
    <sheetView zoomScale="64" zoomScaleNormal="80" workbookViewId="0">
      <pane xSplit="2" ySplit="2" topLeftCell="E279" activePane="bottomRight" state="frozen"/>
      <selection pane="topRight" activeCell="C1" sqref="C1"/>
      <selection pane="bottomLeft" activeCell="A2" sqref="A2"/>
      <selection pane="bottomRight" activeCell="Z290" sqref="Z290"/>
    </sheetView>
  </sheetViews>
  <sheetFormatPr defaultColWidth="8.69921875" defaultRowHeight="15.6" x14ac:dyDescent="0.6"/>
  <cols>
    <col min="2" max="2" width="55.69921875" customWidth="1"/>
    <col min="3" max="3" width="8.09765625" customWidth="1"/>
    <col min="4" max="6" width="8.09765625" style="43" customWidth="1"/>
    <col min="7" max="8" width="9.19921875" style="43" bestFit="1" customWidth="1"/>
    <col min="9" max="9" width="8.19921875" style="43" customWidth="1"/>
    <col min="10" max="10" width="8.19921875" style="43" bestFit="1" customWidth="1"/>
    <col min="11" max="11" width="8.19921875" style="43" customWidth="1"/>
    <col min="12" max="12" width="8.69921875" style="43"/>
    <col min="13" max="15" width="9.796875" style="43" bestFit="1" customWidth="1"/>
    <col min="16" max="25" width="8.69921875" style="43"/>
    <col min="26" max="26" width="8.94921875" style="43" bestFit="1" customWidth="1"/>
    <col min="27" max="27" width="8.69921875" style="43"/>
    <col min="28" max="28" width="11.19921875" bestFit="1" customWidth="1"/>
    <col min="29" max="36" width="8.69921875" style="32"/>
  </cols>
  <sheetData>
    <row r="1" spans="2:47" x14ac:dyDescent="0.6">
      <c r="AC1" s="238"/>
      <c r="AD1" s="238"/>
      <c r="AE1" s="238"/>
      <c r="AF1" s="238"/>
      <c r="AG1" s="238"/>
      <c r="AH1" s="238"/>
      <c r="AI1" s="238"/>
      <c r="AJ1" s="238"/>
      <c r="AK1" s="238"/>
    </row>
    <row r="2" spans="2:47" x14ac:dyDescent="0.6">
      <c r="B2" s="261" t="s">
        <v>369</v>
      </c>
      <c r="C2" s="396" t="s">
        <v>691</v>
      </c>
      <c r="D2" s="396" t="s">
        <v>692</v>
      </c>
      <c r="E2" s="396" t="s">
        <v>693</v>
      </c>
      <c r="F2" s="396" t="s">
        <v>560</v>
      </c>
      <c r="G2" s="396" t="s">
        <v>672</v>
      </c>
      <c r="H2" s="396" t="s">
        <v>374</v>
      </c>
      <c r="I2" s="396" t="s">
        <v>375</v>
      </c>
      <c r="J2" s="396" t="s">
        <v>376</v>
      </c>
      <c r="K2" s="396" t="s">
        <v>670</v>
      </c>
      <c r="L2" s="25">
        <v>2021</v>
      </c>
      <c r="M2" s="487" t="s">
        <v>867</v>
      </c>
      <c r="N2" s="487" t="s">
        <v>1007</v>
      </c>
      <c r="O2" s="487" t="s">
        <v>1008</v>
      </c>
      <c r="P2" s="895" t="s">
        <v>1009</v>
      </c>
      <c r="Q2" s="25">
        <v>2022</v>
      </c>
      <c r="R2" s="1061" t="s">
        <v>1014</v>
      </c>
      <c r="S2" s="1070" t="s">
        <v>1015</v>
      </c>
      <c r="T2" s="1142" t="s">
        <v>1016</v>
      </c>
      <c r="U2" s="1182" t="s">
        <v>1017</v>
      </c>
      <c r="V2" s="25">
        <v>2023</v>
      </c>
      <c r="W2" s="1187" t="s">
        <v>2107</v>
      </c>
      <c r="X2" s="1246" t="s">
        <v>2303</v>
      </c>
      <c r="Y2" s="1143" t="s">
        <v>1889</v>
      </c>
      <c r="Z2" s="1143" t="s">
        <v>1890</v>
      </c>
      <c r="AA2" s="25">
        <v>2024</v>
      </c>
      <c r="AC2" s="253" t="str">
        <f t="shared" ref="AC2:AK2" si="0">H2</f>
        <v>Q1 21</v>
      </c>
      <c r="AD2" s="253" t="str">
        <f t="shared" si="0"/>
        <v>Q2 21</v>
      </c>
      <c r="AE2" s="253" t="str">
        <f t="shared" si="0"/>
        <v>Q3 21</v>
      </c>
      <c r="AF2" s="253" t="str">
        <f t="shared" si="0"/>
        <v>Q4 21</v>
      </c>
      <c r="AG2" s="253">
        <f t="shared" si="0"/>
        <v>2021</v>
      </c>
      <c r="AH2" s="253" t="str">
        <f t="shared" si="0"/>
        <v>Q1 22</v>
      </c>
      <c r="AI2" s="253" t="str">
        <f t="shared" si="0"/>
        <v>Q2 22</v>
      </c>
      <c r="AJ2" s="253" t="str">
        <f t="shared" si="0"/>
        <v>Q3 22</v>
      </c>
      <c r="AK2" s="253" t="str">
        <f t="shared" si="0"/>
        <v>Q4 22</v>
      </c>
      <c r="AM2" s="254" t="str">
        <f>R2</f>
        <v>Q1 23</v>
      </c>
      <c r="AN2" s="254" t="str">
        <f>S2</f>
        <v>Q2 23</v>
      </c>
      <c r="AO2" s="254" t="str">
        <f>T2</f>
        <v>Q3 23</v>
      </c>
      <c r="AP2" s="254" t="str">
        <f>U2</f>
        <v>Q4 23</v>
      </c>
      <c r="AR2" s="254" t="str">
        <f>W2</f>
        <v>Q1 24</v>
      </c>
      <c r="AS2" s="254" t="str">
        <f>X2</f>
        <v>Q2 24</v>
      </c>
      <c r="AT2" s="254" t="str">
        <f>Y2</f>
        <v>Q3 24E</v>
      </c>
      <c r="AU2" s="254" t="str">
        <f>Z2</f>
        <v>Q4 24E</v>
      </c>
    </row>
    <row r="3" spans="2:47" x14ac:dyDescent="0.6">
      <c r="B3" s="261"/>
      <c r="C3" s="396"/>
      <c r="D3" s="396"/>
      <c r="E3" s="396"/>
      <c r="F3" s="396"/>
      <c r="G3" s="396"/>
      <c r="H3" s="396"/>
      <c r="I3" s="396"/>
      <c r="J3" s="396"/>
      <c r="K3" s="396"/>
      <c r="L3" s="25"/>
      <c r="M3" s="487"/>
      <c r="N3" s="487"/>
      <c r="O3" s="487"/>
      <c r="P3" s="895"/>
      <c r="Q3" s="25"/>
      <c r="R3" s="1061"/>
      <c r="S3" s="1070"/>
      <c r="T3" s="1070"/>
      <c r="U3" s="1070"/>
      <c r="V3" s="344"/>
      <c r="W3" s="1061"/>
      <c r="X3" s="1061"/>
      <c r="Y3" s="344"/>
      <c r="Z3" s="344"/>
      <c r="AA3" s="344"/>
      <c r="AC3" s="253"/>
      <c r="AD3" s="253"/>
      <c r="AE3" s="253"/>
      <c r="AF3" s="253"/>
      <c r="AG3" s="253"/>
      <c r="AH3" s="253"/>
      <c r="AI3" s="253"/>
      <c r="AJ3" s="253"/>
      <c r="AK3" s="253"/>
      <c r="AL3" s="253"/>
      <c r="AM3" s="253"/>
      <c r="AN3" s="253"/>
      <c r="AO3" s="253"/>
      <c r="AP3" s="253"/>
    </row>
    <row r="4" spans="2:47" x14ac:dyDescent="0.6">
      <c r="B4" s="20" t="s">
        <v>136</v>
      </c>
      <c r="C4" s="20"/>
      <c r="D4"/>
      <c r="E4"/>
      <c r="F4"/>
      <c r="G4"/>
      <c r="H4"/>
      <c r="I4"/>
      <c r="J4"/>
      <c r="K4"/>
      <c r="L4"/>
      <c r="M4"/>
      <c r="N4"/>
      <c r="O4"/>
      <c r="P4"/>
      <c r="Q4"/>
      <c r="R4"/>
      <c r="S4"/>
      <c r="T4"/>
      <c r="U4"/>
      <c r="V4"/>
      <c r="W4"/>
      <c r="X4"/>
      <c r="Y4" s="1096"/>
      <c r="Z4" s="1096"/>
      <c r="AA4"/>
      <c r="AC4" s="253"/>
      <c r="AD4" s="253"/>
      <c r="AE4" s="253"/>
      <c r="AF4" s="253"/>
      <c r="AG4" s="253"/>
      <c r="AH4" s="253"/>
      <c r="AI4" s="253"/>
      <c r="AJ4" s="253"/>
      <c r="AK4" s="253"/>
      <c r="AL4" s="253"/>
      <c r="AM4" s="253"/>
      <c r="AN4" s="253"/>
      <c r="AO4" s="253"/>
      <c r="AP4" s="253"/>
    </row>
    <row r="5" spans="2:47" x14ac:dyDescent="0.6">
      <c r="B5" s="20" t="s">
        <v>9</v>
      </c>
      <c r="C5" s="20"/>
      <c r="H5" s="110"/>
      <c r="I5" s="110"/>
      <c r="J5" s="110"/>
      <c r="K5" s="110"/>
      <c r="S5" s="335"/>
      <c r="T5" s="335"/>
      <c r="U5" s="335"/>
      <c r="X5" s="335"/>
      <c r="Y5" s="1096"/>
      <c r="Z5" s="1096"/>
      <c r="AC5" s="253"/>
      <c r="AD5" s="253"/>
      <c r="AE5" s="257">
        <f>J6/D6-1</f>
        <v>1.2253586302637669</v>
      </c>
      <c r="AF5" s="257">
        <f>K6/E6-1</f>
        <v>2.9182994454713493</v>
      </c>
      <c r="AG5" s="257"/>
      <c r="AH5" s="257"/>
      <c r="AI5" s="257"/>
      <c r="AJ5" s="257"/>
      <c r="AK5" s="253"/>
      <c r="AM5" s="257"/>
      <c r="AN5" s="257"/>
      <c r="AO5" s="253"/>
      <c r="AP5" s="253"/>
    </row>
    <row r="6" spans="2:47" s="101" customFormat="1" ht="15.9" thickBot="1" x14ac:dyDescent="0.65">
      <c r="B6" s="87" t="s">
        <v>133</v>
      </c>
      <c r="C6" s="87"/>
      <c r="D6" s="54">
        <f>Master!E4-G6-F6-E6</f>
        <v>216.09999999999997</v>
      </c>
      <c r="E6" s="54">
        <f>SUM(E7:E14)</f>
        <v>162.30000000000001</v>
      </c>
      <c r="F6" s="54">
        <f>SUM(F7:F14)</f>
        <v>156.10000000000002</v>
      </c>
      <c r="G6" s="54">
        <f>SUM(G7:G14)</f>
        <v>202.60000000000002</v>
      </c>
      <c r="H6" s="54">
        <f>H7+H14</f>
        <v>245</v>
      </c>
      <c r="I6" s="54">
        <f>I7+I14</f>
        <v>336.1</v>
      </c>
      <c r="J6" s="54">
        <f>J7+J14</f>
        <v>480.9</v>
      </c>
      <c r="K6" s="54">
        <f>K7+K14</f>
        <v>635.94000000000005</v>
      </c>
      <c r="L6" s="54">
        <f>Master!F4</f>
        <v>1696.9561700000002</v>
      </c>
      <c r="M6" s="54">
        <f>M7+M14</f>
        <v>877.26700000000005</v>
      </c>
      <c r="N6" s="54">
        <f>N7+N14</f>
        <v>1157.5610000000001</v>
      </c>
      <c r="O6" s="54">
        <f>O7+O14</f>
        <v>1306.9000000000001</v>
      </c>
      <c r="P6" s="54">
        <f>P7+P14</f>
        <v>1450.2719999999999</v>
      </c>
      <c r="Q6" s="54">
        <f>Master!G4</f>
        <v>4790.1710000000003</v>
      </c>
      <c r="R6" s="54">
        <f>R7+R14</f>
        <v>1618.454</v>
      </c>
      <c r="S6" s="54">
        <f>S7+S14</f>
        <v>1868.6</v>
      </c>
      <c r="T6" s="54">
        <v>2136.7579999999998</v>
      </c>
      <c r="U6" s="54">
        <v>2409.9</v>
      </c>
      <c r="V6" s="54">
        <f>Master!H4</f>
        <v>8028</v>
      </c>
      <c r="W6" s="54">
        <f>W7+W14</f>
        <v>2736</v>
      </c>
      <c r="X6" s="54">
        <f>X7+X14</f>
        <v>2848.7000000000003</v>
      </c>
      <c r="Y6" s="54">
        <f>Y7+Y14</f>
        <v>3122.4253605540871</v>
      </c>
      <c r="Z6" s="54">
        <f>Z7+Z14</f>
        <v>3250.5354506640438</v>
      </c>
      <c r="AA6" s="54">
        <f>Master!I4</f>
        <v>11957.660811218131</v>
      </c>
      <c r="AB6" s="260"/>
      <c r="AC6" s="260">
        <f t="shared" ref="AC6:AF7" si="1">H6/D6-1</f>
        <v>0.13373438223044909</v>
      </c>
      <c r="AD6" s="260">
        <f t="shared" si="1"/>
        <v>1.0708564386937769</v>
      </c>
      <c r="AE6" s="260">
        <f t="shared" si="1"/>
        <v>2.080717488789237</v>
      </c>
      <c r="AF6" s="260">
        <f t="shared" si="1"/>
        <v>2.1388943731490619</v>
      </c>
      <c r="AH6" s="260">
        <f t="shared" ref="AH6:AK7" si="2">M6/H6-1</f>
        <v>2.5806816326530613</v>
      </c>
      <c r="AI6" s="260">
        <f t="shared" si="2"/>
        <v>2.4440969949419817</v>
      </c>
      <c r="AJ6" s="260">
        <f t="shared" si="2"/>
        <v>1.7176128093158662</v>
      </c>
      <c r="AK6" s="260">
        <f t="shared" si="2"/>
        <v>1.2805170299084816</v>
      </c>
      <c r="AL6" s="260"/>
      <c r="AM6" s="260">
        <f t="shared" ref="AM6:AP7" si="3">R6/M6-1</f>
        <v>0.84488188886621729</v>
      </c>
      <c r="AN6" s="260">
        <f t="shared" si="3"/>
        <v>0.61425618174765706</v>
      </c>
      <c r="AO6" s="260">
        <f t="shared" si="3"/>
        <v>0.63498201851710134</v>
      </c>
      <c r="AP6" s="260">
        <f t="shared" si="3"/>
        <v>0.66168829019659769</v>
      </c>
      <c r="AR6" s="260">
        <f t="shared" ref="AR6" si="4">W6/R6-1</f>
        <v>0.69050217058995811</v>
      </c>
      <c r="AS6" s="260">
        <f t="shared" ref="AS6" si="5">X6/S6-1</f>
        <v>0.5245103285882482</v>
      </c>
      <c r="AT6" s="260">
        <f t="shared" ref="AT6" si="6">Y6/T6-1</f>
        <v>0.46129105895664702</v>
      </c>
      <c r="AU6" s="260">
        <f t="shared" ref="AU6" si="7">Z6/U6-1</f>
        <v>0.34882586441928853</v>
      </c>
    </row>
    <row r="7" spans="2:47" x14ac:dyDescent="0.6">
      <c r="B7" s="29" t="s">
        <v>87</v>
      </c>
      <c r="C7" s="29"/>
      <c r="D7" s="97">
        <f>Master!E5-G7-F7-E7</f>
        <v>131.1</v>
      </c>
      <c r="E7" s="59">
        <v>91.9</v>
      </c>
      <c r="F7" s="59">
        <v>70.2</v>
      </c>
      <c r="G7" s="59">
        <v>89.7</v>
      </c>
      <c r="H7" s="59">
        <v>127.3</v>
      </c>
      <c r="I7" s="59">
        <v>184.9</v>
      </c>
      <c r="J7" s="59">
        <v>295</v>
      </c>
      <c r="K7" s="406">
        <v>439.54</v>
      </c>
      <c r="L7" s="43">
        <f>Master!F5</f>
        <v>1045.6791700000001</v>
      </c>
      <c r="M7" s="406">
        <v>619.44299999999998</v>
      </c>
      <c r="N7" s="406">
        <v>853.01300000000003</v>
      </c>
      <c r="O7" s="406">
        <v>987.3</v>
      </c>
      <c r="P7" s="406">
        <f>3555-M7-N7-O7</f>
        <v>1095.2439999999999</v>
      </c>
      <c r="Q7" s="43">
        <f>Master!G5</f>
        <v>3555.1709999999998</v>
      </c>
      <c r="R7" s="59">
        <v>1255.454</v>
      </c>
      <c r="S7" s="59">
        <v>1500.2</v>
      </c>
      <c r="T7" s="59">
        <v>1732.6990000000001</v>
      </c>
      <c r="U7" s="59">
        <v>1951</v>
      </c>
      <c r="V7" s="43">
        <f>Master!H5</f>
        <v>6439</v>
      </c>
      <c r="W7" s="59">
        <v>2280</v>
      </c>
      <c r="X7" s="59">
        <v>2383.3000000000002</v>
      </c>
      <c r="Y7" s="43">
        <f>Y8+Y9+Y11+Y10</f>
        <v>2622.4253605540871</v>
      </c>
      <c r="Z7" s="43">
        <f>Z8+Z9+Z11+Z10</f>
        <v>2817.4757471126354</v>
      </c>
      <c r="AA7" s="43">
        <f>Master!I5</f>
        <v>10103.201107666722</v>
      </c>
      <c r="AC7" s="256">
        <f t="shared" si="1"/>
        <v>-2.8985507246376829E-2</v>
      </c>
      <c r="AD7" s="256">
        <f t="shared" si="1"/>
        <v>1.0119695321001085</v>
      </c>
      <c r="AE7" s="256">
        <f t="shared" si="1"/>
        <v>3.2022792022792022</v>
      </c>
      <c r="AF7" s="256">
        <f t="shared" si="1"/>
        <v>3.9001114827201784</v>
      </c>
      <c r="AH7" s="256">
        <f t="shared" si="2"/>
        <v>3.8660094265514529</v>
      </c>
      <c r="AI7" s="256">
        <f t="shared" si="2"/>
        <v>3.6133747971876691</v>
      </c>
      <c r="AJ7" s="256">
        <f t="shared" si="2"/>
        <v>2.3467796610169489</v>
      </c>
      <c r="AK7" s="256">
        <f t="shared" si="2"/>
        <v>1.4917959685125357</v>
      </c>
      <c r="AL7" s="256"/>
      <c r="AM7" s="256">
        <f t="shared" si="3"/>
        <v>1.0267466094539772</v>
      </c>
      <c r="AN7" s="256">
        <f t="shared" si="3"/>
        <v>0.75870707714888286</v>
      </c>
      <c r="AO7" s="256">
        <f t="shared" si="3"/>
        <v>0.75498733920794092</v>
      </c>
      <c r="AP7" s="256">
        <f t="shared" si="3"/>
        <v>0.78133822235045347</v>
      </c>
      <c r="AR7" s="256">
        <f t="shared" ref="AR7" si="8">W7/R7-1</f>
        <v>0.81607609677455328</v>
      </c>
      <c r="AS7" s="256">
        <f t="shared" ref="AS7" si="9">X7/S7-1</f>
        <v>0.58865484602053075</v>
      </c>
      <c r="AT7" s="256">
        <f t="shared" ref="AT7" si="10">Y7/T7-1</f>
        <v>0.51349158772186465</v>
      </c>
      <c r="AU7" s="256">
        <f t="shared" ref="AU7" si="11">Z7/U7-1</f>
        <v>0.44411878375839842</v>
      </c>
    </row>
    <row r="8" spans="2:47" x14ac:dyDescent="0.6">
      <c r="B8" s="945" t="s">
        <v>1292</v>
      </c>
      <c r="C8" s="29"/>
      <c r="D8" s="97"/>
      <c r="E8" s="59"/>
      <c r="F8" s="59"/>
      <c r="G8" s="59"/>
      <c r="H8" s="59">
        <v>61</v>
      </c>
      <c r="I8" s="406">
        <v>83</v>
      </c>
      <c r="J8" s="406">
        <v>94</v>
      </c>
      <c r="K8" s="406">
        <f>358-H8-I8-J8</f>
        <v>120</v>
      </c>
      <c r="M8" s="406">
        <v>190</v>
      </c>
      <c r="N8" s="406">
        <v>244</v>
      </c>
      <c r="O8" s="406">
        <v>262</v>
      </c>
      <c r="P8" s="406">
        <f>1015-M8-N8-O8</f>
        <v>319</v>
      </c>
      <c r="R8" s="59">
        <v>447.69600000000003</v>
      </c>
      <c r="S8" s="59">
        <v>594</v>
      </c>
      <c r="T8" s="59">
        <v>679.74599999999998</v>
      </c>
      <c r="U8" s="59">
        <f>'Revenue and Expenses breakdown'!G8-R8-S8-T8</f>
        <v>799.55800000000011</v>
      </c>
      <c r="V8" s="43">
        <f>'Revenue and Expenses breakdown'!G8</f>
        <v>2521</v>
      </c>
      <c r="W8" s="59">
        <v>984</v>
      </c>
      <c r="X8" s="59">
        <v>985.13900000000001</v>
      </c>
      <c r="Y8" s="43">
        <f>Y21*AVERAGE(Y245,X245)/4</f>
        <v>1041.5282575757576</v>
      </c>
      <c r="Z8" s="43">
        <f>AA8-W8-X8-Y8</f>
        <v>1065.5674527940384</v>
      </c>
      <c r="AA8" s="43">
        <f>'Revenue and Expenses breakdown'!H8</f>
        <v>4076.2347103697962</v>
      </c>
      <c r="AC8" s="256"/>
      <c r="AD8" s="256"/>
      <c r="AE8" s="256"/>
      <c r="AF8" s="256"/>
      <c r="AH8" s="256"/>
      <c r="AI8" s="256"/>
      <c r="AJ8" s="256"/>
      <c r="AK8" s="256"/>
      <c r="AL8" s="256"/>
      <c r="AM8" s="256"/>
      <c r="AN8" s="256"/>
      <c r="AO8" s="256"/>
      <c r="AP8" s="256"/>
    </row>
    <row r="9" spans="2:47" x14ac:dyDescent="0.6">
      <c r="B9" s="945" t="s">
        <v>750</v>
      </c>
      <c r="C9" s="29"/>
      <c r="D9" s="97"/>
      <c r="E9" s="59"/>
      <c r="F9" s="59"/>
      <c r="G9" s="59"/>
      <c r="H9" s="59">
        <v>29</v>
      </c>
      <c r="I9" s="59">
        <v>47</v>
      </c>
      <c r="J9" s="406">
        <v>85</v>
      </c>
      <c r="K9" s="406">
        <f>293-H9-I9-J9</f>
        <v>132</v>
      </c>
      <c r="M9" s="406">
        <v>194</v>
      </c>
      <c r="N9" s="406">
        <v>228</v>
      </c>
      <c r="O9" s="406">
        <v>250</v>
      </c>
      <c r="P9" s="406">
        <f>932-M9-N9-O9</f>
        <v>260</v>
      </c>
      <c r="R9" s="59">
        <v>286</v>
      </c>
      <c r="S9" s="59">
        <v>353</v>
      </c>
      <c r="T9" s="59">
        <v>453.41500000000002</v>
      </c>
      <c r="U9" s="59">
        <f>'Revenue and Expenses breakdown'!G16-R9-S9-T9</f>
        <v>557.58500000000004</v>
      </c>
      <c r="V9" s="43">
        <f>'Revenue and Expenses breakdown'!G16</f>
        <v>1650</v>
      </c>
      <c r="W9" s="59">
        <v>656</v>
      </c>
      <c r="X9" s="59">
        <v>730.00199999999995</v>
      </c>
      <c r="Y9" s="43">
        <f>Y22*AVERAGE(Y246,X246)/4</f>
        <v>887.71528479651158</v>
      </c>
      <c r="Z9" s="43">
        <f>AA9-W9-X9-Y9</f>
        <v>986.61919876771992</v>
      </c>
      <c r="AA9" s="43">
        <f>'Revenue and Expenses breakdown'!H16</f>
        <v>3260.3364835642315</v>
      </c>
      <c r="AC9" s="256"/>
      <c r="AD9" s="256"/>
      <c r="AE9" s="256"/>
      <c r="AF9" s="256"/>
      <c r="AH9" s="256"/>
      <c r="AI9" s="256"/>
      <c r="AJ9" s="256"/>
      <c r="AK9" s="256"/>
      <c r="AL9" s="256"/>
      <c r="AM9" s="256"/>
      <c r="AN9" s="256"/>
      <c r="AO9" s="256"/>
      <c r="AP9" s="256"/>
    </row>
    <row r="10" spans="2:47" x14ac:dyDescent="0.6">
      <c r="B10" s="1038" t="s">
        <v>1322</v>
      </c>
      <c r="C10" s="29"/>
      <c r="D10" s="97"/>
      <c r="E10" s="59"/>
      <c r="F10" s="59"/>
      <c r="G10" s="59"/>
      <c r="H10" s="59"/>
      <c r="I10" s="59"/>
      <c r="J10" s="406"/>
      <c r="K10" s="406"/>
      <c r="M10" s="406"/>
      <c r="N10" s="406"/>
      <c r="O10" s="406"/>
      <c r="P10" s="406"/>
      <c r="Y10" s="43">
        <f>Y23*AVERAGE(Y247,X247)/4</f>
        <v>3.1818181818181817</v>
      </c>
      <c r="Z10" s="43">
        <f>AA10-W10-X10-Y10</f>
        <v>6.4323148417078109</v>
      </c>
      <c r="AA10" s="43">
        <f>'Revenue and Expenses breakdown'!H19</f>
        <v>9.6141330235259925</v>
      </c>
      <c r="AC10" s="256"/>
      <c r="AD10" s="256"/>
      <c r="AE10" s="256"/>
      <c r="AF10" s="256"/>
      <c r="AH10" s="256"/>
      <c r="AI10" s="256"/>
      <c r="AJ10" s="256"/>
      <c r="AK10" s="256"/>
      <c r="AL10" s="256"/>
      <c r="AM10" s="256"/>
      <c r="AN10" s="256"/>
      <c r="AO10" s="256"/>
      <c r="AP10" s="256"/>
    </row>
    <row r="11" spans="2:47" x14ac:dyDescent="0.6">
      <c r="B11" s="945" t="s">
        <v>1293</v>
      </c>
      <c r="C11" s="29"/>
      <c r="D11" s="97"/>
      <c r="E11" s="59"/>
      <c r="F11" s="59"/>
      <c r="G11" s="59"/>
      <c r="H11" s="211">
        <f>H7-H8-H9</f>
        <v>37.299999999999997</v>
      </c>
      <c r="I11" s="211">
        <f>I7-I8-I9</f>
        <v>54.900000000000006</v>
      </c>
      <c r="J11" s="211">
        <f>J7-J8-J9</f>
        <v>116</v>
      </c>
      <c r="K11" s="211">
        <f>K7-K8-K9</f>
        <v>187.54000000000002</v>
      </c>
      <c r="M11" s="211">
        <f>M7-M8-M9</f>
        <v>235.44299999999998</v>
      </c>
      <c r="N11" s="211">
        <f>N7-N8-N9</f>
        <v>381.01300000000003</v>
      </c>
      <c r="O11" s="211">
        <f>O7-O8-O9</f>
        <v>475.29999999999995</v>
      </c>
      <c r="P11" s="211">
        <f>P7-P8-P9</f>
        <v>516.24399999999991</v>
      </c>
      <c r="R11" s="97">
        <f>R7-R8-R9</f>
        <v>521.75799999999992</v>
      </c>
      <c r="S11" s="97">
        <f>S7-S8-S9</f>
        <v>553.20000000000005</v>
      </c>
      <c r="T11" s="97">
        <f>T7-T8-T9</f>
        <v>599.53800000000001</v>
      </c>
      <c r="U11" s="97">
        <f>U7-U8-U9</f>
        <v>593.85699999999997</v>
      </c>
      <c r="V11" s="43">
        <f>V7-V8-V9-V10</f>
        <v>2268</v>
      </c>
      <c r="W11" s="97">
        <f>W7-W8-W9</f>
        <v>640</v>
      </c>
      <c r="X11" s="97">
        <f>X7-X8-X9</f>
        <v>668.15900000000011</v>
      </c>
      <c r="Y11" s="1033">
        <v>690</v>
      </c>
      <c r="Z11" s="43">
        <f>AA11-W11-X11-Y11</f>
        <v>758.85678070916902</v>
      </c>
      <c r="AA11" s="43">
        <f>AA7-AA8-AA9-AA10</f>
        <v>2757.0157807091691</v>
      </c>
      <c r="AC11" s="256"/>
      <c r="AD11" s="256"/>
      <c r="AE11" s="256"/>
      <c r="AF11" s="256"/>
      <c r="AH11" s="256"/>
      <c r="AI11" s="256"/>
      <c r="AJ11" s="256"/>
      <c r="AK11" s="256"/>
      <c r="AL11" s="256"/>
      <c r="AM11" s="256"/>
      <c r="AN11" s="256"/>
      <c r="AO11" s="256"/>
      <c r="AP11" s="256"/>
    </row>
    <row r="12" spans="2:47" x14ac:dyDescent="0.6">
      <c r="B12" s="1065" t="s">
        <v>1458</v>
      </c>
      <c r="C12" s="29"/>
      <c r="D12" s="97"/>
      <c r="E12" s="59"/>
      <c r="F12" s="59"/>
      <c r="G12" s="59"/>
      <c r="H12" s="951"/>
      <c r="I12" s="951"/>
      <c r="J12" s="951"/>
      <c r="K12" s="951"/>
      <c r="M12" s="951"/>
      <c r="N12" s="951"/>
      <c r="O12" s="951">
        <f>O11*4/AVERAGE(N229, O229)</f>
        <v>0.21383421437408615</v>
      </c>
      <c r="P12" s="951">
        <f>P11*4/AVERAGE(O229, P229)</f>
        <v>0.21877063248225445</v>
      </c>
      <c r="R12" s="951">
        <f>R11*4/AVERAGE(P229, R229)</f>
        <v>0.23367093993170238</v>
      </c>
      <c r="S12" s="951">
        <f>S11*4/AVERAGE(Q229, S229)</f>
        <v>0.25395076605267691</v>
      </c>
      <c r="T12" s="951">
        <f>T11*4/AVERAGE(R229, T229)</f>
        <v>0.29031559832939896</v>
      </c>
      <c r="U12" s="951">
        <f>U11*4/AVERAGE(S229, U229)</f>
        <v>0.29173202333435677</v>
      </c>
      <c r="W12" s="951">
        <f>W11*4/AVERAGE(V229, W229)</f>
        <v>0.29079467311867346</v>
      </c>
      <c r="X12" s="951">
        <f>X11*4/AVERAGE(W229, X229)</f>
        <v>0.31520790426894807</v>
      </c>
      <c r="Y12" s="951">
        <f>Y11*4/AVERAGE(X229, Y229)</f>
        <v>0.30905064903435664</v>
      </c>
      <c r="Z12" s="951">
        <f>Z11*4/AVERAGE(Y229, Z229)</f>
        <v>0.3000153159729444</v>
      </c>
      <c r="AC12" s="256"/>
      <c r="AD12" s="256"/>
      <c r="AE12" s="256"/>
      <c r="AF12" s="256"/>
      <c r="AH12" s="256"/>
      <c r="AI12" s="256"/>
      <c r="AJ12" s="256"/>
      <c r="AK12" s="256"/>
      <c r="AL12" s="256"/>
      <c r="AM12" s="256"/>
      <c r="AN12" s="256"/>
      <c r="AO12" s="256"/>
      <c r="AP12" s="256"/>
    </row>
    <row r="13" spans="2:47" x14ac:dyDescent="0.6">
      <c r="B13" s="29"/>
      <c r="C13" s="29"/>
      <c r="D13" s="97"/>
      <c r="E13" s="59"/>
      <c r="F13" s="59"/>
      <c r="G13" s="59"/>
      <c r="H13" s="59"/>
      <c r="I13" s="59"/>
      <c r="J13" s="59"/>
      <c r="K13" s="406"/>
      <c r="M13" s="406"/>
      <c r="N13" s="406"/>
      <c r="O13" s="406"/>
      <c r="P13" s="406"/>
      <c r="Y13" s="1096"/>
      <c r="Z13" s="1096"/>
      <c r="AC13" s="256"/>
      <c r="AD13" s="256"/>
      <c r="AE13" s="256"/>
      <c r="AF13" s="256"/>
      <c r="AH13" s="256"/>
      <c r="AI13" s="256"/>
      <c r="AJ13" s="256"/>
      <c r="AK13" s="256"/>
      <c r="AL13" s="256"/>
      <c r="AM13" s="256"/>
      <c r="AN13" s="256"/>
      <c r="AO13" s="256"/>
      <c r="AP13" s="256"/>
    </row>
    <row r="14" spans="2:47" x14ac:dyDescent="0.6">
      <c r="B14" s="29" t="s">
        <v>88</v>
      </c>
      <c r="C14" s="29"/>
      <c r="D14" s="97">
        <f>Master!E6-G14-F14-E14</f>
        <v>85.000000000000028</v>
      </c>
      <c r="E14" s="59">
        <v>70.400000000000006</v>
      </c>
      <c r="F14" s="59">
        <v>85.9</v>
      </c>
      <c r="G14" s="59">
        <v>112.9</v>
      </c>
      <c r="H14" s="59">
        <v>117.7</v>
      </c>
      <c r="I14" s="59">
        <v>151.19999999999999</v>
      </c>
      <c r="J14" s="59">
        <v>185.9</v>
      </c>
      <c r="K14" s="406">
        <v>196.4</v>
      </c>
      <c r="M14" s="406">
        <v>257.82400000000001</v>
      </c>
      <c r="N14" s="406">
        <v>304.548</v>
      </c>
      <c r="O14" s="406">
        <v>319.60000000000002</v>
      </c>
      <c r="P14" s="406">
        <f>1237-M14-N14-O14</f>
        <v>355.02799999999991</v>
      </c>
      <c r="R14" s="59">
        <v>363</v>
      </c>
      <c r="S14" s="59">
        <v>368.4</v>
      </c>
      <c r="T14" s="59">
        <v>404</v>
      </c>
      <c r="U14" s="59">
        <v>453</v>
      </c>
      <c r="V14" s="43">
        <f>Master!H6</f>
        <v>1589</v>
      </c>
      <c r="W14" s="59">
        <v>456</v>
      </c>
      <c r="X14" s="59">
        <v>465.4</v>
      </c>
      <c r="Y14" s="43">
        <f>Y15+Y16</f>
        <v>500</v>
      </c>
      <c r="Z14" s="43">
        <f>AA14-Y14-X14-W14</f>
        <v>433.05970355140846</v>
      </c>
      <c r="AA14" s="43">
        <f>Master!I6</f>
        <v>1854.4597035514084</v>
      </c>
      <c r="AC14" s="256">
        <f>H14/D14-1</f>
        <v>0.38470588235294079</v>
      </c>
      <c r="AD14" s="256">
        <f>I14/E14-1</f>
        <v>1.1477272727272725</v>
      </c>
      <c r="AE14" s="256">
        <f>J14/F14-1</f>
        <v>1.1641443538998835</v>
      </c>
      <c r="AF14" s="256">
        <f>K14/G14-1</f>
        <v>0.73959255978742244</v>
      </c>
      <c r="AH14" s="256">
        <f>M14/H14-1</f>
        <v>1.1905182667799492</v>
      </c>
      <c r="AI14" s="256">
        <f>N14/I14-1</f>
        <v>1.0142063492063493</v>
      </c>
      <c r="AJ14" s="256">
        <f>O14/J14-1</f>
        <v>0.71920387305002698</v>
      </c>
      <c r="AK14" s="256">
        <f>P14/K14-1</f>
        <v>0.80767820773930699</v>
      </c>
      <c r="AL14" s="256"/>
      <c r="AM14" s="256">
        <f>R14/M14-1</f>
        <v>0.40793719746804014</v>
      </c>
      <c r="AN14" s="256">
        <f>S14/N14-1</f>
        <v>0.20966153118720188</v>
      </c>
      <c r="AO14" s="256">
        <f>T14/O14-1</f>
        <v>0.26408010012515626</v>
      </c>
      <c r="AP14" s="256">
        <f>U14/P14-1</f>
        <v>0.27595569926879038</v>
      </c>
    </row>
    <row r="15" spans="2:47" x14ac:dyDescent="0.6">
      <c r="B15" s="1032" t="s">
        <v>1314</v>
      </c>
      <c r="C15" s="29"/>
      <c r="D15" s="97"/>
      <c r="E15" s="59"/>
      <c r="F15" s="59"/>
      <c r="G15" s="59"/>
      <c r="H15" s="406">
        <f>321-I15-J15</f>
        <v>84</v>
      </c>
      <c r="I15" s="59">
        <v>107</v>
      </c>
      <c r="J15" s="59">
        <v>130</v>
      </c>
      <c r="K15" s="406">
        <f>472-H15-I15-J15</f>
        <v>151</v>
      </c>
      <c r="M15" s="406">
        <f>658-N15-O15</f>
        <v>189</v>
      </c>
      <c r="N15" s="406">
        <v>225</v>
      </c>
      <c r="O15" s="406">
        <v>244</v>
      </c>
      <c r="P15" s="406">
        <f>917-M15-N15-O15</f>
        <v>259</v>
      </c>
      <c r="R15" s="59">
        <v>265.39999999999998</v>
      </c>
      <c r="S15" s="59">
        <v>271</v>
      </c>
      <c r="T15" s="59">
        <v>302</v>
      </c>
      <c r="U15" s="59">
        <f>V15-R15-S15-T15</f>
        <v>348.6</v>
      </c>
      <c r="V15" s="43">
        <f>'Revenue and Expenses breakdown'!G33</f>
        <v>1187</v>
      </c>
      <c r="W15" s="59">
        <v>339</v>
      </c>
      <c r="X15" s="59">
        <v>344.4</v>
      </c>
      <c r="Y15" s="1033">
        <v>365</v>
      </c>
      <c r="Z15" s="43">
        <f>AA15-Y15-X15-W15</f>
        <v>293.47137021807509</v>
      </c>
      <c r="AA15" s="43">
        <f>'Revenue and Expenses breakdown'!H33</f>
        <v>1341.8713702180751</v>
      </c>
      <c r="AC15" s="256"/>
      <c r="AD15" s="256"/>
      <c r="AE15" s="256"/>
      <c r="AF15" s="256"/>
      <c r="AH15" s="256"/>
      <c r="AI15" s="256"/>
      <c r="AJ15" s="256"/>
      <c r="AK15" s="256"/>
      <c r="AL15" s="256"/>
      <c r="AM15" s="256"/>
      <c r="AN15" s="256"/>
      <c r="AO15" s="256"/>
      <c r="AP15" s="256"/>
    </row>
    <row r="16" spans="2:47" x14ac:dyDescent="0.6">
      <c r="B16" s="1032" t="s">
        <v>1315</v>
      </c>
      <c r="C16" s="29"/>
      <c r="D16" s="97"/>
      <c r="E16" s="59"/>
      <c r="F16" s="59"/>
      <c r="G16" s="59"/>
      <c r="H16" s="211">
        <f>H14-H15</f>
        <v>33.700000000000003</v>
      </c>
      <c r="I16" s="211">
        <f>I14-I15</f>
        <v>44.199999999999989</v>
      </c>
      <c r="J16" s="211">
        <f>J14-J15</f>
        <v>55.900000000000006</v>
      </c>
      <c r="K16" s="211">
        <f>K14-K15</f>
        <v>45.400000000000006</v>
      </c>
      <c r="L16" s="97"/>
      <c r="M16" s="211">
        <f>M14-M15</f>
        <v>68.824000000000012</v>
      </c>
      <c r="N16" s="211">
        <f>N14-N15</f>
        <v>79.548000000000002</v>
      </c>
      <c r="O16" s="211">
        <f>O14-O15</f>
        <v>75.600000000000023</v>
      </c>
      <c r="P16" s="211">
        <f>P14-P15</f>
        <v>96.027999999999906</v>
      </c>
      <c r="Q16" s="97"/>
      <c r="R16" s="211">
        <f>R14-R15</f>
        <v>97.600000000000023</v>
      </c>
      <c r="S16" s="211">
        <f>S14-S15</f>
        <v>97.399999999999977</v>
      </c>
      <c r="T16" s="211">
        <f>T14-T15</f>
        <v>102</v>
      </c>
      <c r="U16" s="211">
        <f>U14-U15</f>
        <v>104.39999999999998</v>
      </c>
      <c r="V16" s="43">
        <f>'Revenue and Expenses breakdown'!G38</f>
        <v>402</v>
      </c>
      <c r="W16" s="211">
        <f>W14-W15</f>
        <v>117</v>
      </c>
      <c r="X16" s="211">
        <f>X14-X15</f>
        <v>121</v>
      </c>
      <c r="Y16" s="1033">
        <v>135</v>
      </c>
      <c r="Z16" s="276">
        <f>AA16-Y16-X16-W16</f>
        <v>139.58833333333337</v>
      </c>
      <c r="AA16" s="43">
        <f>'Revenue and Expenses breakdown'!H38</f>
        <v>512.58833333333337</v>
      </c>
      <c r="AC16" s="256"/>
      <c r="AD16" s="256"/>
      <c r="AE16" s="256"/>
      <c r="AF16" s="256"/>
      <c r="AH16" s="256"/>
      <c r="AI16" s="256"/>
      <c r="AJ16" s="256"/>
      <c r="AK16" s="256"/>
      <c r="AL16" s="256"/>
      <c r="AM16" s="256"/>
      <c r="AN16" s="256"/>
      <c r="AO16" s="256"/>
      <c r="AP16" s="256"/>
    </row>
    <row r="17" spans="2:42" x14ac:dyDescent="0.6">
      <c r="B17" s="17"/>
      <c r="C17" s="17"/>
      <c r="K17" s="276"/>
      <c r="M17" s="276"/>
      <c r="N17" s="276"/>
      <c r="O17" s="276"/>
      <c r="R17" s="335"/>
      <c r="W17" s="335"/>
      <c r="X17" s="335"/>
      <c r="AC17" s="507"/>
      <c r="AD17" s="256"/>
      <c r="AE17" s="256"/>
      <c r="AF17" s="256"/>
      <c r="AH17" s="256"/>
      <c r="AI17" s="256"/>
      <c r="AJ17" s="256"/>
      <c r="AK17" s="256"/>
      <c r="AL17" s="256"/>
      <c r="AM17" s="256"/>
      <c r="AN17" s="256"/>
      <c r="AO17" s="256"/>
      <c r="AP17" s="256"/>
    </row>
    <row r="18" spans="2:42" x14ac:dyDescent="0.6">
      <c r="B18" s="424" t="s">
        <v>1157</v>
      </c>
      <c r="C18" s="424"/>
      <c r="E18" s="425"/>
      <c r="F18" s="425"/>
      <c r="G18" s="947">
        <f>G7*4/AVERAGE(F248,G248)</f>
        <v>0.10807228915662651</v>
      </c>
      <c r="H18" s="947">
        <f>H7*4/AVERAGE(G248,H248)</f>
        <v>0.15386009971294756</v>
      </c>
      <c r="I18" s="947">
        <f>I7*4/AVERAGE(H248,I248)</f>
        <v>0.18540987716219604</v>
      </c>
      <c r="J18" s="947">
        <f>J7*4/AVERAGE(I248,J248)</f>
        <v>0.2371859296482412</v>
      </c>
      <c r="K18" s="947">
        <f>K7*4/AVERAGE(J248,K248)</f>
        <v>0.29712388118661293</v>
      </c>
      <c r="L18" s="56"/>
      <c r="M18" s="948">
        <f>M7*4/AVERAGE(L248,M248)</f>
        <v>0.28086574005694231</v>
      </c>
      <c r="N18" s="948">
        <f>N7*4/AVERAGE(M248,N248)</f>
        <v>0.38030472845212815</v>
      </c>
      <c r="O18" s="948">
        <f>O7*4/AVERAGE(N248,O248)</f>
        <v>0.41926065975164017</v>
      </c>
      <c r="P18" s="948">
        <f>P7*4/AVERAGE(O248,P248)</f>
        <v>0.41775288813434647</v>
      </c>
      <c r="Q18" s="485"/>
      <c r="R18" s="948">
        <f>R7*4/AVERAGE(P248,R248)</f>
        <v>0.41731964931233639</v>
      </c>
      <c r="S18" s="948">
        <f>S7*4/AVERAGE(R248,S248)</f>
        <v>0.43383458646616541</v>
      </c>
      <c r="T18" s="948">
        <f>T7*4/AVERAGE(S248,T248)</f>
        <v>0.45760698768148589</v>
      </c>
      <c r="U18" s="948">
        <f>U7*4/AVERAGE(T248,U248)</f>
        <v>0.4636754215010998</v>
      </c>
      <c r="V18" s="948"/>
      <c r="W18" s="948">
        <f>W7*4/AVERAGE(U248,W248)</f>
        <v>0.48258181269793399</v>
      </c>
      <c r="X18" s="948">
        <f>X7*4/AVERAGE(V248,X248)</f>
        <v>0.51260034527342313</v>
      </c>
      <c r="Y18" s="948">
        <f>Y7*4/AVERAGE(X248,Y248)</f>
        <v>0.52680284230541508</v>
      </c>
      <c r="Z18" s="948">
        <f>Z7*4/AVERAGE(Y248,Z248)</f>
        <v>0.52072799198782704</v>
      </c>
      <c r="AA18" s="427"/>
      <c r="AC18" s="507"/>
      <c r="AD18" s="256"/>
      <c r="AE18" s="256"/>
      <c r="AF18" s="256"/>
      <c r="AH18" s="256"/>
      <c r="AI18" s="256"/>
      <c r="AJ18" s="256"/>
      <c r="AK18" s="256"/>
      <c r="AL18" s="256"/>
      <c r="AM18" s="256"/>
      <c r="AN18" s="256"/>
      <c r="AO18" s="256"/>
      <c r="AP18" s="256"/>
    </row>
    <row r="19" spans="2:42" x14ac:dyDescent="0.6">
      <c r="B19" s="424" t="s">
        <v>1158</v>
      </c>
      <c r="C19" s="424"/>
      <c r="E19" s="425"/>
      <c r="F19" s="425"/>
      <c r="G19" s="947"/>
      <c r="H19" s="947"/>
      <c r="I19" s="948">
        <f>I7*4/AVERAGE(H221,I221)</f>
        <v>0.73960000000000004</v>
      </c>
      <c r="J19" s="948">
        <f>J7*4/AVERAGE(I221,J221)</f>
        <v>0.98333333333333328</v>
      </c>
      <c r="K19" s="948">
        <f>K7*4/AVERAGE(J221,K221)</f>
        <v>1.0342117647058824</v>
      </c>
      <c r="L19" s="56"/>
      <c r="M19" s="948">
        <f>M7*4/AVERAGE(K221,M221)</f>
        <v>0.97167529411764708</v>
      </c>
      <c r="N19" s="948">
        <f>N7*4/AVERAGE(M221,N221)</f>
        <v>1.0831911111111112</v>
      </c>
      <c r="O19" s="948">
        <f>O7*4/AVERAGE(N221,O221)</f>
        <v>1.1788656716417909</v>
      </c>
      <c r="P19" s="948">
        <f>P7*4/AVERAGE(O221,P221)</f>
        <v>1.1682602666666666</v>
      </c>
      <c r="Q19" s="485"/>
      <c r="R19" s="948">
        <f>R7*4/AVERAGE(P221,R221)</f>
        <v>1.0916991304347825</v>
      </c>
      <c r="S19" s="948">
        <f>S7*4/AVERAGE(R221,S221)</f>
        <v>1.0436173913043478</v>
      </c>
      <c r="T19" s="948">
        <f>T7*4/AVERAGE(S221,T221)</f>
        <v>1.0662763076923076</v>
      </c>
      <c r="U19" s="948">
        <f>U7*4/AVERAGE(T221,U221)</f>
        <v>1.04751677852349</v>
      </c>
      <c r="V19" s="427"/>
      <c r="W19" s="948">
        <f>W7*4/AVERAGE(U221,W221)</f>
        <v>1.0189944134078213</v>
      </c>
      <c r="X19" s="948">
        <f>X7*4/AVERAGE(V221,X221)</f>
        <v>0.97277551020408171</v>
      </c>
      <c r="Y19" s="948"/>
      <c r="Z19" s="948"/>
      <c r="AA19" s="427"/>
      <c r="AC19" s="507"/>
      <c r="AD19" s="256"/>
      <c r="AE19" s="256"/>
      <c r="AF19" s="256"/>
      <c r="AH19" s="256"/>
      <c r="AI19" s="256"/>
      <c r="AJ19" s="256"/>
      <c r="AK19" s="256"/>
      <c r="AL19" s="256"/>
      <c r="AM19" s="256"/>
      <c r="AN19" s="256"/>
      <c r="AO19" s="256"/>
      <c r="AP19" s="256"/>
    </row>
    <row r="20" spans="2:42" x14ac:dyDescent="0.6">
      <c r="B20" s="424"/>
      <c r="C20" s="424"/>
      <c r="E20" s="425"/>
      <c r="F20" s="425"/>
      <c r="G20" s="426"/>
      <c r="H20" s="426"/>
      <c r="I20" s="529"/>
      <c r="J20" s="529"/>
      <c r="K20" s="529"/>
      <c r="L20" s="59"/>
      <c r="M20" s="529"/>
      <c r="N20" s="529"/>
      <c r="O20" s="529"/>
      <c r="P20" s="529"/>
      <c r="Q20" s="485"/>
      <c r="R20" s="485"/>
      <c r="S20" s="485"/>
      <c r="T20" s="485"/>
      <c r="U20" s="485"/>
      <c r="V20" s="427"/>
      <c r="W20" s="485"/>
      <c r="X20" s="485"/>
      <c r="Y20" s="427"/>
      <c r="Z20" s="427"/>
      <c r="AA20" s="427"/>
      <c r="AC20" s="507"/>
      <c r="AD20" s="256"/>
      <c r="AE20" s="256"/>
      <c r="AF20" s="256"/>
      <c r="AH20" s="256"/>
      <c r="AI20" s="256"/>
      <c r="AJ20" s="256"/>
      <c r="AK20" s="256"/>
      <c r="AL20" s="256"/>
      <c r="AM20" s="256"/>
      <c r="AN20" s="256"/>
      <c r="AO20" s="256"/>
      <c r="AP20" s="256"/>
    </row>
    <row r="21" spans="2:42" x14ac:dyDescent="0.6">
      <c r="B21" s="950" t="s">
        <v>1294</v>
      </c>
      <c r="C21" s="424"/>
      <c r="E21" s="425"/>
      <c r="F21" s="425"/>
      <c r="G21" s="426"/>
      <c r="H21" s="949">
        <f t="shared" ref="H21:K22" si="12">H8*4/AVERAGE(G245,H245)</f>
        <v>7.9816813869807005E-2</v>
      </c>
      <c r="I21" s="949">
        <f t="shared" si="12"/>
        <v>9.3758825190624118E-2</v>
      </c>
      <c r="J21" s="949">
        <f t="shared" si="12"/>
        <v>8.8941454760496752E-2</v>
      </c>
      <c r="K21" s="949">
        <f t="shared" si="12"/>
        <v>0.10063759155793177</v>
      </c>
      <c r="L21" s="59"/>
      <c r="M21" s="949">
        <f t="shared" ref="M21:P22" si="13">M8*4/AVERAGE(L245,M245)</f>
        <v>0.11152838052426851</v>
      </c>
      <c r="N21" s="949">
        <f t="shared" si="13"/>
        <v>0.13952598049524004</v>
      </c>
      <c r="O21" s="949">
        <f t="shared" si="13"/>
        <v>0.139844379093292</v>
      </c>
      <c r="P21" s="949">
        <f t="shared" si="13"/>
        <v>0.14927230919114998</v>
      </c>
      <c r="Q21" s="485"/>
      <c r="R21" s="949">
        <f>R8*4/AVERAGE(P245,R245)</f>
        <v>0.18127178864257518</v>
      </c>
      <c r="S21" s="949">
        <f t="shared" ref="S21:U22" si="14">S8*4/AVERAGE(R245,S245)</f>
        <v>0.2108626198083067</v>
      </c>
      <c r="T21" s="949">
        <f t="shared" si="14"/>
        <v>0.2227899297375914</v>
      </c>
      <c r="U21" s="949">
        <f t="shared" si="14"/>
        <v>0.23817191368942345</v>
      </c>
      <c r="V21" s="427"/>
      <c r="W21" s="949">
        <f>W8*4/AVERAGE(U245,W245)</f>
        <v>0.26591270685758872</v>
      </c>
      <c r="X21" s="949">
        <f>X8*4/AVERAGE(V245,X245)</f>
        <v>0.27317545927209708</v>
      </c>
      <c r="Y21" s="946">
        <v>0.28000000000000003</v>
      </c>
      <c r="Z21" s="949">
        <f>Z8*4/AVERAGE(Y245,Z245)</f>
        <v>0.26915077839523499</v>
      </c>
      <c r="AA21" s="427"/>
      <c r="AC21" s="507"/>
      <c r="AD21" s="256"/>
      <c r="AE21" s="256"/>
      <c r="AF21" s="256"/>
      <c r="AH21" s="256"/>
      <c r="AI21" s="256"/>
      <c r="AJ21" s="256"/>
      <c r="AK21" s="256"/>
      <c r="AL21" s="256"/>
      <c r="AM21" s="256"/>
      <c r="AN21" s="256"/>
      <c r="AO21" s="256"/>
      <c r="AP21" s="256"/>
    </row>
    <row r="22" spans="2:42" x14ac:dyDescent="0.6">
      <c r="B22" s="950" t="s">
        <v>1295</v>
      </c>
      <c r="C22" s="424"/>
      <c r="E22" s="425"/>
      <c r="F22" s="425"/>
      <c r="G22" s="426"/>
      <c r="H22" s="949">
        <f t="shared" si="12"/>
        <v>0.45940594059405943</v>
      </c>
      <c r="I22" s="949">
        <f t="shared" si="12"/>
        <v>0.41964285714285715</v>
      </c>
      <c r="J22" s="949">
        <f t="shared" si="12"/>
        <v>0.45484949832775917</v>
      </c>
      <c r="K22" s="949">
        <f t="shared" si="12"/>
        <v>0.46006135894109212</v>
      </c>
      <c r="L22" s="59"/>
      <c r="M22" s="949">
        <f t="shared" si="13"/>
        <v>0.38655043586550436</v>
      </c>
      <c r="N22" s="949">
        <f t="shared" si="13"/>
        <v>0.4613571640496536</v>
      </c>
      <c r="O22" s="949">
        <f t="shared" si="13"/>
        <v>0.51937421639415093</v>
      </c>
      <c r="P22" s="949">
        <f t="shared" si="13"/>
        <v>0.53639560207182801</v>
      </c>
      <c r="Q22" s="485"/>
      <c r="R22" s="949">
        <f>R9*4/AVERAGE(P246,R246)</f>
        <v>0.53098166627987931</v>
      </c>
      <c r="S22" s="949">
        <f t="shared" si="14"/>
        <v>0.55070202808112323</v>
      </c>
      <c r="T22" s="949">
        <f t="shared" si="14"/>
        <v>0.61657888232796387</v>
      </c>
      <c r="U22" s="949">
        <f t="shared" si="14"/>
        <v>0.65550248656204324</v>
      </c>
      <c r="V22" s="427"/>
      <c r="W22" s="949">
        <f>W9*4/AVERAGE(U246,W246)</f>
        <v>0.6405468082509459</v>
      </c>
      <c r="X22" s="949">
        <f>X9*4/AVERAGE(V246,X246)</f>
        <v>0.6997845172860081</v>
      </c>
      <c r="Y22" s="946">
        <v>0.71</v>
      </c>
      <c r="Z22" s="949">
        <f>Z9*4/AVERAGE(Y246,Z246)</f>
        <v>0.69301332317065079</v>
      </c>
      <c r="AA22" s="427"/>
      <c r="AC22" s="507"/>
      <c r="AD22" s="256"/>
      <c r="AE22" s="256"/>
      <c r="AF22" s="256"/>
      <c r="AH22" s="256"/>
      <c r="AI22" s="256"/>
      <c r="AJ22" s="256"/>
      <c r="AK22" s="256"/>
      <c r="AL22" s="256"/>
      <c r="AM22" s="256"/>
      <c r="AN22" s="256"/>
      <c r="AO22" s="256"/>
      <c r="AP22" s="256"/>
    </row>
    <row r="23" spans="2:42" x14ac:dyDescent="0.6">
      <c r="B23" s="950" t="s">
        <v>1321</v>
      </c>
      <c r="C23" s="424"/>
      <c r="E23" s="425"/>
      <c r="F23" s="425"/>
      <c r="G23" s="426"/>
      <c r="H23" s="949"/>
      <c r="I23" s="949"/>
      <c r="J23" s="949"/>
      <c r="K23" s="949"/>
      <c r="L23" s="59"/>
      <c r="M23" s="949"/>
      <c r="N23" s="949"/>
      <c r="O23" s="949"/>
      <c r="P23" s="949"/>
      <c r="Q23" s="485"/>
      <c r="R23" s="485"/>
      <c r="S23" s="485"/>
      <c r="T23" s="485"/>
      <c r="U23" s="485"/>
      <c r="V23" s="427"/>
      <c r="W23" s="485"/>
      <c r="X23" s="485"/>
      <c r="Y23" s="946">
        <v>0.2</v>
      </c>
      <c r="Z23" s="949">
        <f>Z10*4/AVERAGE(Y247,Z247)</f>
        <v>0.22985696511765183</v>
      </c>
      <c r="AA23" s="427"/>
      <c r="AC23" s="507"/>
      <c r="AD23" s="256"/>
      <c r="AE23" s="256"/>
      <c r="AF23" s="256"/>
      <c r="AH23" s="256"/>
      <c r="AI23" s="256"/>
      <c r="AJ23" s="256"/>
      <c r="AK23" s="256"/>
      <c r="AL23" s="256"/>
      <c r="AM23" s="256"/>
      <c r="AN23" s="256"/>
      <c r="AO23" s="256"/>
      <c r="AP23" s="256"/>
    </row>
    <row r="24" spans="2:42" x14ac:dyDescent="0.6">
      <c r="B24" s="17"/>
      <c r="C24" s="17"/>
      <c r="K24" s="276"/>
      <c r="M24" s="276"/>
      <c r="N24" s="276"/>
      <c r="O24" s="276"/>
      <c r="Y24" s="1096"/>
      <c r="Z24" s="1096"/>
      <c r="AC24" s="507"/>
      <c r="AD24" s="256"/>
      <c r="AE24" s="256"/>
      <c r="AF24" s="256"/>
      <c r="AH24" s="256"/>
      <c r="AI24" s="256"/>
      <c r="AJ24" s="256"/>
      <c r="AK24" s="256"/>
      <c r="AL24" s="256"/>
      <c r="AM24" s="256"/>
      <c r="AN24" s="256"/>
      <c r="AO24" s="256"/>
      <c r="AP24" s="256"/>
    </row>
    <row r="25" spans="2:42" x14ac:dyDescent="0.6">
      <c r="B25" s="29" t="s">
        <v>89</v>
      </c>
      <c r="C25" s="29"/>
      <c r="D25" s="59"/>
      <c r="E25" s="59">
        <v>-25.3</v>
      </c>
      <c r="F25" s="59">
        <v>-24</v>
      </c>
      <c r="G25" s="59">
        <v>-31.4</v>
      </c>
      <c r="H25" s="59">
        <v>-31.7</v>
      </c>
      <c r="I25" s="59">
        <v>-57.2</v>
      </c>
      <c r="J25" s="59">
        <v>-101.4</v>
      </c>
      <c r="K25" s="406">
        <v>-177</v>
      </c>
      <c r="L25" s="43">
        <f>Master!F8</f>
        <v>-367.34399999999999</v>
      </c>
      <c r="M25" s="406">
        <v>-273.00299999999999</v>
      </c>
      <c r="N25" s="406">
        <v>-407.5</v>
      </c>
      <c r="O25" s="406">
        <v>-459.9</v>
      </c>
      <c r="P25" s="59">
        <f>-1547-M25-N25-O25</f>
        <v>-406.59700000000009</v>
      </c>
      <c r="Q25" s="43">
        <f>Master!G8</f>
        <v>-1548</v>
      </c>
      <c r="R25" s="59">
        <v>-440.12099999999998</v>
      </c>
      <c r="S25" s="59">
        <v>-453.4</v>
      </c>
      <c r="T25" s="59">
        <v>-537.649</v>
      </c>
      <c r="U25" s="59">
        <f>V25-R25-S25-T25</f>
        <v>-604.82999999999981</v>
      </c>
      <c r="V25" s="43">
        <f>Master!H8</f>
        <v>-2036</v>
      </c>
      <c r="W25" s="59">
        <v>-660</v>
      </c>
      <c r="X25" s="59">
        <v>-665</v>
      </c>
      <c r="Y25" s="43">
        <f>Y26+Y27</f>
        <v>-724.15774999999996</v>
      </c>
      <c r="Z25" s="43">
        <f>AA25-Y25-X25-W25</f>
        <v>-795.26271008817685</v>
      </c>
      <c r="AA25" s="43">
        <f>Master!I8</f>
        <v>-2844.4204600881767</v>
      </c>
      <c r="AC25" s="507"/>
      <c r="AD25" s="256">
        <f>I25/E25-1</f>
        <v>1.2608695652173916</v>
      </c>
      <c r="AE25" s="256">
        <f>J25/F25-1</f>
        <v>3.2250000000000005</v>
      </c>
      <c r="AF25" s="256">
        <f>K25/G25-1</f>
        <v>4.6369426751592355</v>
      </c>
      <c r="AH25" s="256">
        <f>M25/H25-1</f>
        <v>7.6120820189274454</v>
      </c>
      <c r="AI25" s="256">
        <f>N25/I25-1</f>
        <v>6.1241258741258742</v>
      </c>
      <c r="AJ25" s="256">
        <f>O25/J25-1</f>
        <v>3.5355029585798814</v>
      </c>
      <c r="AK25" s="256">
        <f>P25/K25-1</f>
        <v>1.2971581920903961</v>
      </c>
      <c r="AL25" s="256"/>
      <c r="AM25" s="256">
        <f>R25/M25-1</f>
        <v>0.61214711926242571</v>
      </c>
      <c r="AN25" s="256">
        <f>S25/N25-1</f>
        <v>0.11263803680981588</v>
      </c>
      <c r="AO25" s="256">
        <f>T25/O25-1</f>
        <v>0.16905631659056319</v>
      </c>
      <c r="AP25" s="256">
        <f>U25/P25-1</f>
        <v>0.48754171821238157</v>
      </c>
    </row>
    <row r="26" spans="2:42" x14ac:dyDescent="0.6">
      <c r="B26" s="897" t="s">
        <v>1236</v>
      </c>
      <c r="C26" s="29"/>
      <c r="D26" s="59"/>
      <c r="E26" s="59"/>
      <c r="F26" s="59"/>
      <c r="G26" s="59"/>
      <c r="H26" s="406">
        <f>-165.6-I26-J26</f>
        <v>-25.5</v>
      </c>
      <c r="I26" s="59">
        <v>-49.1</v>
      </c>
      <c r="J26" s="59">
        <v>-91</v>
      </c>
      <c r="K26" s="406">
        <f>L26-H26-I26-J26</f>
        <v>-151.79999999999998</v>
      </c>
      <c r="L26" s="43">
        <v>-317.39999999999998</v>
      </c>
      <c r="M26" s="406">
        <f>-1040.4-N26-O26</f>
        <v>-246.30000000000013</v>
      </c>
      <c r="N26" s="406">
        <v>-363.8</v>
      </c>
      <c r="O26" s="406">
        <v>-430.3</v>
      </c>
      <c r="P26" s="59">
        <f>-1408-M26-N26-O26</f>
        <v>-367.59999999999985</v>
      </c>
      <c r="R26" s="59">
        <v>-395</v>
      </c>
      <c r="S26" s="59">
        <v>-401</v>
      </c>
      <c r="T26" s="59">
        <v>-463.685</v>
      </c>
      <c r="U26" s="59">
        <f>V26-R26-S26-T26</f>
        <v>-463.315</v>
      </c>
      <c r="V26" s="43">
        <f>'Revenue and Expenses breakdown'!G71</f>
        <v>-1723</v>
      </c>
      <c r="W26" s="59">
        <v>-514</v>
      </c>
      <c r="X26" s="59">
        <v>-550</v>
      </c>
      <c r="Y26" s="43">
        <f>-Y30*AVERAGE(X224,Y224)/4</f>
        <v>-589.15774999999996</v>
      </c>
      <c r="Z26" s="43">
        <f>AA26-W26-X26-Y26</f>
        <v>-666.26271008817673</v>
      </c>
      <c r="AA26" s="43">
        <f>'Revenue and Expenses breakdown'!H71</f>
        <v>-2319.4204600881767</v>
      </c>
      <c r="AC26" s="507"/>
      <c r="AD26" s="256"/>
      <c r="AE26" s="256"/>
      <c r="AF26" s="256"/>
      <c r="AH26" s="256"/>
      <c r="AI26" s="256"/>
      <c r="AJ26" s="256"/>
      <c r="AK26" s="256"/>
      <c r="AL26" s="256"/>
      <c r="AM26" s="256"/>
      <c r="AN26" s="256"/>
      <c r="AO26" s="256"/>
      <c r="AP26" s="256"/>
    </row>
    <row r="27" spans="2:42" x14ac:dyDescent="0.6">
      <c r="B27" s="897" t="s">
        <v>1237</v>
      </c>
      <c r="C27" s="29"/>
      <c r="D27" s="59"/>
      <c r="E27" s="59"/>
      <c r="F27" s="59"/>
      <c r="G27" s="59"/>
      <c r="H27" s="43">
        <f>H25-H26</f>
        <v>-6.1999999999999993</v>
      </c>
      <c r="I27" s="43">
        <f>I25-I26</f>
        <v>-8.1000000000000014</v>
      </c>
      <c r="J27" s="43">
        <f>J25-J26</f>
        <v>-10.400000000000006</v>
      </c>
      <c r="K27" s="43">
        <f>K25-K26</f>
        <v>-25.200000000000017</v>
      </c>
      <c r="M27" s="43">
        <f>M25-M26</f>
        <v>-26.702999999999861</v>
      </c>
      <c r="N27" s="43">
        <f>N25-N26</f>
        <v>-43.699999999999989</v>
      </c>
      <c r="O27" s="43">
        <f>O25-O26</f>
        <v>-29.599999999999966</v>
      </c>
      <c r="P27" s="43">
        <f>P25-P26</f>
        <v>-38.997000000000241</v>
      </c>
      <c r="R27" s="43">
        <f>R25-R26</f>
        <v>-45.120999999999981</v>
      </c>
      <c r="S27" s="43">
        <f>S25-S26</f>
        <v>-52.399999999999977</v>
      </c>
      <c r="T27" s="43">
        <f>T25-T26</f>
        <v>-73.963999999999999</v>
      </c>
      <c r="U27" s="43">
        <f>U25-U26</f>
        <v>-141.51499999999982</v>
      </c>
      <c r="V27" s="43">
        <f>'Revenue and Expenses breakdown'!G77</f>
        <v>-313</v>
      </c>
      <c r="W27" s="43">
        <f>W25-W26</f>
        <v>-146</v>
      </c>
      <c r="X27" s="43">
        <f>X25-X26</f>
        <v>-115</v>
      </c>
      <c r="Y27" s="59">
        <v>-135</v>
      </c>
      <c r="Z27" s="43">
        <f>AA27-W27-X27-Y27</f>
        <v>-129</v>
      </c>
      <c r="AA27" s="43">
        <f>'Revenue and Expenses breakdown'!H77</f>
        <v>-525</v>
      </c>
      <c r="AC27" s="507"/>
      <c r="AD27" s="256"/>
      <c r="AE27" s="256"/>
      <c r="AF27" s="256"/>
      <c r="AH27" s="256"/>
      <c r="AI27" s="256"/>
      <c r="AJ27" s="256"/>
      <c r="AK27" s="256"/>
      <c r="AL27" s="256"/>
      <c r="AM27" s="256"/>
      <c r="AN27" s="256"/>
      <c r="AO27" s="256"/>
      <c r="AP27" s="256"/>
    </row>
    <row r="28" spans="2:42" x14ac:dyDescent="0.6">
      <c r="B28" s="29"/>
      <c r="C28" s="29"/>
      <c r="D28" s="59"/>
      <c r="E28" s="59"/>
      <c r="F28" s="59"/>
      <c r="G28" s="59"/>
      <c r="H28" s="59"/>
      <c r="I28" s="59"/>
      <c r="J28" s="59"/>
      <c r="K28" s="406"/>
      <c r="M28" s="406"/>
      <c r="N28" s="406"/>
      <c r="O28" s="406"/>
      <c r="AC28" s="507"/>
      <c r="AD28" s="256"/>
      <c r="AE28" s="256"/>
      <c r="AF28" s="256"/>
      <c r="AH28" s="256"/>
      <c r="AI28" s="256"/>
      <c r="AJ28" s="256"/>
      <c r="AK28" s="256"/>
      <c r="AL28" s="256"/>
      <c r="AM28" s="256"/>
      <c r="AN28" s="256"/>
      <c r="AO28" s="256"/>
      <c r="AP28" s="256"/>
    </row>
    <row r="29" spans="2:42" x14ac:dyDescent="0.6">
      <c r="B29" s="424" t="s">
        <v>795</v>
      </c>
      <c r="C29" s="424"/>
      <c r="D29" s="38"/>
      <c r="E29" s="38"/>
      <c r="F29" s="38"/>
      <c r="G29" s="427">
        <f>-G25*4/AVERAGE(F224:G224)</f>
        <v>2.2489211982309441E-2</v>
      </c>
      <c r="H29" s="427">
        <f>-H25*4/AVERAGE(G224:H224)</f>
        <v>2.2877969129175727E-2</v>
      </c>
      <c r="I29" s="427">
        <f>-I25*4/AVERAGE(H224:I224)</f>
        <v>3.5200000000000002E-2</v>
      </c>
      <c r="J29" s="427">
        <f>-J25*4/AVERAGE(I224:J224)</f>
        <v>5.2000000000000005E-2</v>
      </c>
      <c r="K29" s="427">
        <f>-K25*4/AVERAGE(J224:K224)</f>
        <v>7.9698317104744745E-2</v>
      </c>
      <c r="L29" s="38"/>
      <c r="M29" s="427">
        <f>-M25*4/AVERAGE(L224:M224)</f>
        <v>9.8099742625756284E-2</v>
      </c>
      <c r="N29" s="427">
        <f>-N25*4/AVERAGE(M224:N224)</f>
        <v>0.12592220634246204</v>
      </c>
      <c r="O29" s="427">
        <f>-O25*4/AVERAGE(N224:O224)</f>
        <v>0.13460651959170233</v>
      </c>
      <c r="P29" s="427">
        <f>-P25*4/AVERAGE(O224:P224)</f>
        <v>0.108978021978022</v>
      </c>
      <c r="Q29" s="180"/>
      <c r="R29" s="427">
        <f>-R25*4/AVERAGE(Q224:R224)</f>
        <v>0.1115465864089973</v>
      </c>
      <c r="S29" s="427">
        <f>-S25*4/AVERAGE(R224:S224)</f>
        <v>0.1073421917078512</v>
      </c>
      <c r="T29" s="427">
        <f>-T25*4/AVERAGE(S224:T224)</f>
        <v>0.11577594142822535</v>
      </c>
      <c r="U29" s="427">
        <f>-U25*4/AVERAGE(T224:U224)</f>
        <v>0.11303120911979066</v>
      </c>
      <c r="V29" s="485">
        <f>V25/AVERAGE(Q224,V224)</f>
        <v>-0.1030912174991772</v>
      </c>
      <c r="W29" s="427">
        <f>-W25*4/AVERAGE(V224:W224)</f>
        <v>0.11012618625508395</v>
      </c>
      <c r="X29" s="427">
        <f>-X25*4/AVERAGE(W224:X224)</f>
        <v>0.1075116706747772</v>
      </c>
      <c r="Y29" s="427">
        <f>-Y25*4/AVERAGE(X224:Y224)</f>
        <v>0.1093935193927263</v>
      </c>
      <c r="Z29" s="427">
        <f>-Z25*4/AVERAGE(Y224:Z224)</f>
        <v>0.11004296167581516</v>
      </c>
      <c r="AA29" s="485">
        <f>AA25/AVERAGE(V224,AA224)</f>
        <v>-0.10578633663468294</v>
      </c>
      <c r="AC29" s="253"/>
      <c r="AD29" s="257"/>
      <c r="AE29" s="257"/>
      <c r="AF29" s="257"/>
      <c r="AH29" s="257"/>
      <c r="AI29" s="257"/>
      <c r="AJ29" s="257"/>
      <c r="AK29" s="257"/>
      <c r="AL29" s="257"/>
      <c r="AM29" s="257"/>
      <c r="AN29" s="257"/>
      <c r="AO29" s="257"/>
      <c r="AP29" s="257"/>
    </row>
    <row r="30" spans="2:42" x14ac:dyDescent="0.6">
      <c r="B30" s="898" t="s">
        <v>1238</v>
      </c>
      <c r="C30" s="424"/>
      <c r="D30" s="38"/>
      <c r="E30" s="38"/>
      <c r="F30" s="38"/>
      <c r="G30" s="427"/>
      <c r="H30" s="427"/>
      <c r="I30" s="485">
        <f>-I26*4/AVERAGE(H224:I224)</f>
        <v>3.0215384615384616E-2</v>
      </c>
      <c r="J30" s="485">
        <f>-J26*4/AVERAGE(I224:J224)</f>
        <v>4.6666666666666669E-2</v>
      </c>
      <c r="K30" s="485">
        <f>-K26*4/AVERAGE(J224:K224)</f>
        <v>6.8351438059323463E-2</v>
      </c>
      <c r="L30" s="38"/>
      <c r="M30" s="485">
        <f>-M26*4/AVERAGE(L224:M224)</f>
        <v>8.8504399617307453E-2</v>
      </c>
      <c r="N30" s="485">
        <f>-N26*4/AVERAGE(M224:N224)</f>
        <v>0.11241840163776122</v>
      </c>
      <c r="O30" s="485">
        <f>-O26*4/AVERAGE(N224:O224)</f>
        <v>0.12594299930486957</v>
      </c>
      <c r="P30" s="485">
        <f>-P26*4/AVERAGE(O224:P224)</f>
        <v>9.8525864379522876E-2</v>
      </c>
      <c r="Q30" s="180"/>
      <c r="R30" s="485">
        <f>-R26*4/AVERAGE(Q224:R224)</f>
        <v>0.10011088230635197</v>
      </c>
      <c r="S30" s="485">
        <f>-S26*4/AVERAGE(R224:S224)</f>
        <v>9.4936521558994999E-2</v>
      </c>
      <c r="T30" s="485">
        <f>-T26*4/AVERAGE(S224:T224)</f>
        <v>9.9848725471723507E-2</v>
      </c>
      <c r="U30" s="485">
        <f>-U26*4/AVERAGE(T224:U224)</f>
        <v>8.6584750513922629E-2</v>
      </c>
      <c r="V30" s="485">
        <f>-V26*4/AVERAGE(Q224,V224)</f>
        <v>0.34897086002177269</v>
      </c>
      <c r="W30" s="485">
        <f>-W26*4/AVERAGE(V224:W224)</f>
        <v>8.5764938992595685E-2</v>
      </c>
      <c r="X30" s="485">
        <f>-X26*4/AVERAGE(W224:X224)</f>
        <v>8.891942687387587E-2</v>
      </c>
      <c r="Y30" s="946">
        <v>8.8999999999999996E-2</v>
      </c>
      <c r="Z30" s="485">
        <f>-Z26*4/AVERAGE(Y224:Z224)</f>
        <v>9.2192832559857746E-2</v>
      </c>
      <c r="AA30" s="485"/>
      <c r="AC30" s="253"/>
      <c r="AD30" s="257"/>
      <c r="AE30" s="257"/>
      <c r="AF30" s="257"/>
      <c r="AH30" s="257"/>
      <c r="AI30" s="257"/>
      <c r="AJ30" s="257"/>
      <c r="AK30" s="257"/>
      <c r="AL30" s="257"/>
      <c r="AM30" s="257"/>
      <c r="AN30" s="257"/>
      <c r="AO30" s="257"/>
      <c r="AP30" s="257"/>
    </row>
    <row r="31" spans="2:42" x14ac:dyDescent="0.6">
      <c r="B31" s="452" t="s">
        <v>798</v>
      </c>
      <c r="C31" s="452"/>
      <c r="D31" s="38"/>
      <c r="E31" s="38"/>
      <c r="F31" s="427"/>
      <c r="G31" s="427">
        <f>G29/G361</f>
        <v>1.1244605991154719</v>
      </c>
      <c r="H31" s="427">
        <f>H29/H361</f>
        <v>1.0740830577077807</v>
      </c>
      <c r="I31" s="427">
        <f>I29/I361</f>
        <v>1.0414201183431955</v>
      </c>
      <c r="J31" s="427">
        <f>J29/J361</f>
        <v>0.99047619047619062</v>
      </c>
      <c r="K31" s="427">
        <f>K29/K361</f>
        <v>0.9863653107022865</v>
      </c>
      <c r="L31" s="38"/>
      <c r="M31" s="427">
        <f>M29/M361</f>
        <v>0.89862359657181323</v>
      </c>
      <c r="N31" s="427">
        <f>N29/N361</f>
        <v>1.0155016640521133</v>
      </c>
      <c r="O31" s="427">
        <f>O29/O361</f>
        <v>0.9909682423929006</v>
      </c>
      <c r="P31" s="427">
        <f>P29/P361</f>
        <v>0.79256743256743267</v>
      </c>
      <c r="Q31" s="427"/>
      <c r="R31" s="427">
        <f>R29/R361</f>
        <v>0.81124790115634393</v>
      </c>
      <c r="S31" s="427">
        <f>S29/S361</f>
        <v>0.78067048514800863</v>
      </c>
      <c r="T31" s="427">
        <f>T29/T361</f>
        <v>0.87378069002434222</v>
      </c>
      <c r="U31" s="427">
        <f>U29/U361</f>
        <v>0.90424967295832526</v>
      </c>
      <c r="V31" s="427"/>
      <c r="W31" s="427">
        <f>W29/W361</f>
        <v>0.99391864851158807</v>
      </c>
      <c r="X31" s="427">
        <f>X29/X361</f>
        <v>1.0239206730931163</v>
      </c>
      <c r="Y31" s="427">
        <f>Y29/Y361</f>
        <v>1.0418430418354887</v>
      </c>
      <c r="Z31" s="427">
        <f>Z29/Z361</f>
        <v>1.0480282064363349</v>
      </c>
      <c r="AA31" s="427"/>
      <c r="AC31" s="253"/>
      <c r="AD31" s="257"/>
      <c r="AE31" s="257"/>
      <c r="AF31" s="257"/>
      <c r="AH31" s="257"/>
      <c r="AI31" s="257"/>
      <c r="AJ31" s="257"/>
      <c r="AK31" s="257"/>
      <c r="AL31" s="257"/>
      <c r="AM31" s="257"/>
      <c r="AN31" s="257"/>
      <c r="AO31" s="257"/>
      <c r="AP31" s="257"/>
    </row>
    <row r="32" spans="2:42" x14ac:dyDescent="0.6">
      <c r="B32" s="898" t="s">
        <v>1239</v>
      </c>
      <c r="C32" s="452"/>
      <c r="D32" s="38"/>
      <c r="E32" s="38"/>
      <c r="F32" s="427"/>
      <c r="G32" s="427"/>
      <c r="H32" s="427"/>
      <c r="I32" s="485">
        <f>I30/I361</f>
        <v>0.8939462903959946</v>
      </c>
      <c r="J32" s="485">
        <f>J30/J361</f>
        <v>0.88888888888888895</v>
      </c>
      <c r="K32" s="485">
        <f>K30/K361</f>
        <v>0.84593363934806265</v>
      </c>
      <c r="L32" s="38"/>
      <c r="M32" s="485">
        <f>M30/M361</f>
        <v>0.81072732473869413</v>
      </c>
      <c r="N32" s="485">
        <f>N30/N361</f>
        <v>0.90660001320775174</v>
      </c>
      <c r="O32" s="485">
        <f>O30/O361</f>
        <v>0.92718772494382506</v>
      </c>
      <c r="P32" s="485">
        <f>P30/P361</f>
        <v>0.71655174094198448</v>
      </c>
      <c r="Q32" s="427"/>
      <c r="R32" s="485">
        <f>R30/R361</f>
        <v>0.72807914404619611</v>
      </c>
      <c r="S32" s="485">
        <f>S30/S361</f>
        <v>0.69044742951996352</v>
      </c>
      <c r="T32" s="485">
        <f>T30/T361</f>
        <v>0.75357528657904527</v>
      </c>
      <c r="U32" s="485">
        <f>U30/U361</f>
        <v>0.69267800411138103</v>
      </c>
      <c r="V32" s="427"/>
      <c r="W32" s="485">
        <f>W30/W361</f>
        <v>0.77405179596205498</v>
      </c>
      <c r="X32" s="485">
        <f>X30/X361</f>
        <v>0.84685168451310355</v>
      </c>
      <c r="Y32" s="485">
        <f>Y30/Y361</f>
        <v>0.84761904761904761</v>
      </c>
      <c r="Z32" s="485">
        <f>Z30/Z361</f>
        <v>0.87802697676054997</v>
      </c>
      <c r="AA32" s="427"/>
      <c r="AC32" s="253"/>
      <c r="AD32" s="257"/>
      <c r="AE32" s="257"/>
      <c r="AF32" s="257"/>
      <c r="AH32" s="257"/>
      <c r="AI32" s="257"/>
      <c r="AJ32" s="257"/>
      <c r="AK32" s="257"/>
      <c r="AL32" s="257"/>
      <c r="AM32" s="257"/>
      <c r="AN32" s="257"/>
      <c r="AO32" s="257"/>
      <c r="AP32" s="257"/>
    </row>
    <row r="33" spans="2:42" x14ac:dyDescent="0.6">
      <c r="B33" s="452" t="s">
        <v>866</v>
      </c>
      <c r="C33" s="452"/>
      <c r="D33" s="38"/>
      <c r="E33" s="38"/>
      <c r="F33" s="38"/>
      <c r="G33" s="427">
        <f>-G25/G6</f>
        <v>0.15498519249753206</v>
      </c>
      <c r="H33" s="427">
        <f>-H25/H6</f>
        <v>0.12938775510204081</v>
      </c>
      <c r="I33" s="427">
        <f>-I25/I6</f>
        <v>0.17018744421303184</v>
      </c>
      <c r="J33" s="427">
        <f>-J25/J6</f>
        <v>0.21085464753587027</v>
      </c>
      <c r="K33" s="427">
        <f>-K25/K6</f>
        <v>0.27832814416454382</v>
      </c>
      <c r="L33" s="38"/>
      <c r="M33" s="427">
        <f t="shared" ref="M33:V33" si="15">-M25/M6</f>
        <v>0.31119716118353929</v>
      </c>
      <c r="N33" s="427">
        <f t="shared" si="15"/>
        <v>0.35203328377510984</v>
      </c>
      <c r="O33" s="427">
        <f t="shared" si="15"/>
        <v>0.3519014461703267</v>
      </c>
      <c r="P33" s="427">
        <f t="shared" si="15"/>
        <v>0.28035913263167195</v>
      </c>
      <c r="Q33" s="485">
        <f t="shared" si="15"/>
        <v>0.3231617409900398</v>
      </c>
      <c r="R33" s="427">
        <f>-R25/R6</f>
        <v>0.27193914686484755</v>
      </c>
      <c r="S33" s="427">
        <f>-S25/S6</f>
        <v>0.2426415498233972</v>
      </c>
      <c r="T33" s="427">
        <f>-T25/T6</f>
        <v>0.25161904155734999</v>
      </c>
      <c r="U33" s="427">
        <f>-U25/U6</f>
        <v>0.25097721897174147</v>
      </c>
      <c r="V33" s="485">
        <f t="shared" si="15"/>
        <v>0.25361235675137023</v>
      </c>
      <c r="W33" s="427">
        <f t="shared" ref="W33:AA33" si="16">-W25/W6</f>
        <v>0.2412280701754386</v>
      </c>
      <c r="X33" s="427">
        <f t="shared" si="16"/>
        <v>0.23343981465229752</v>
      </c>
      <c r="Y33" s="427">
        <f t="shared" si="16"/>
        <v>0.23192155660415698</v>
      </c>
      <c r="Z33" s="427">
        <f t="shared" si="16"/>
        <v>0.24465591043645274</v>
      </c>
      <c r="AA33" s="485">
        <f t="shared" si="16"/>
        <v>0.23787432216003915</v>
      </c>
      <c r="AC33" s="253"/>
      <c r="AD33" s="257"/>
      <c r="AE33" s="257"/>
      <c r="AF33" s="257"/>
      <c r="AH33" s="257"/>
      <c r="AI33" s="257"/>
      <c r="AJ33" s="257"/>
      <c r="AK33" s="257"/>
      <c r="AL33" s="257"/>
      <c r="AM33" s="257"/>
      <c r="AN33" s="257"/>
      <c r="AO33" s="257"/>
      <c r="AP33" s="257"/>
    </row>
    <row r="34" spans="2:42" x14ac:dyDescent="0.6">
      <c r="B34" s="452" t="s">
        <v>1240</v>
      </c>
      <c r="C34" s="452"/>
      <c r="D34" s="38"/>
      <c r="E34" s="38"/>
      <c r="F34" s="38"/>
      <c r="G34" s="427"/>
      <c r="H34" s="427"/>
      <c r="I34" s="427"/>
      <c r="J34" s="427"/>
      <c r="K34" s="427"/>
      <c r="L34" s="38"/>
      <c r="M34" s="427"/>
      <c r="N34" s="427"/>
      <c r="O34" s="427"/>
      <c r="P34" s="427"/>
      <c r="Q34" s="485"/>
      <c r="R34" s="485"/>
      <c r="S34" s="485"/>
      <c r="T34" s="485"/>
      <c r="U34" s="485"/>
      <c r="V34" s="485"/>
      <c r="W34" s="485"/>
      <c r="X34" s="485"/>
      <c r="Y34" s="427"/>
      <c r="Z34" s="427"/>
      <c r="AA34" s="485"/>
      <c r="AC34" s="253"/>
      <c r="AD34" s="257"/>
      <c r="AE34" s="257"/>
      <c r="AF34" s="257"/>
      <c r="AH34" s="257"/>
      <c r="AI34" s="257"/>
      <c r="AJ34" s="257"/>
      <c r="AK34" s="257"/>
      <c r="AL34" s="257"/>
      <c r="AM34" s="257"/>
      <c r="AN34" s="257"/>
      <c r="AO34" s="257"/>
      <c r="AP34" s="257"/>
    </row>
    <row r="35" spans="2:42" x14ac:dyDescent="0.6">
      <c r="B35" s="452"/>
      <c r="C35" s="452"/>
      <c r="D35" s="38"/>
      <c r="E35" s="38"/>
      <c r="F35" s="38"/>
      <c r="G35" s="427"/>
      <c r="H35" s="427"/>
      <c r="I35" s="427"/>
      <c r="J35" s="427"/>
      <c r="K35" s="427"/>
      <c r="L35" s="38"/>
      <c r="M35" s="427"/>
      <c r="N35" s="427"/>
      <c r="O35" s="427"/>
      <c r="P35" s="427"/>
      <c r="Q35" s="427"/>
      <c r="R35" s="427"/>
      <c r="S35" s="427"/>
      <c r="T35" s="427"/>
      <c r="U35" s="427"/>
      <c r="V35" s="38"/>
      <c r="W35" s="427"/>
      <c r="X35" s="427"/>
      <c r="Y35" s="1096"/>
      <c r="Z35" s="1096"/>
      <c r="AA35" s="38"/>
      <c r="AC35" s="253"/>
      <c r="AD35" s="257"/>
      <c r="AE35" s="257"/>
      <c r="AF35" s="257"/>
      <c r="AH35" s="257"/>
      <c r="AI35" s="257"/>
      <c r="AJ35" s="257"/>
      <c r="AK35" s="257"/>
      <c r="AL35" s="257"/>
      <c r="AM35" s="257"/>
      <c r="AN35" s="257"/>
      <c r="AO35" s="257"/>
      <c r="AP35" s="257"/>
    </row>
    <row r="36" spans="2:42" x14ac:dyDescent="0.6">
      <c r="B36" s="899" t="s">
        <v>1243</v>
      </c>
      <c r="C36" s="29"/>
      <c r="D36" s="59"/>
      <c r="E36" s="59">
        <v>-22.7</v>
      </c>
      <c r="F36" s="59">
        <v>-31.9</v>
      </c>
      <c r="G36" s="59">
        <v>-39.1</v>
      </c>
      <c r="H36" s="59">
        <v>-26.3</v>
      </c>
      <c r="I36" s="59">
        <v>-29.8</v>
      </c>
      <c r="J36" s="59">
        <v>-28.6</v>
      </c>
      <c r="K36" s="406">
        <v>-32.419000000000011</v>
      </c>
      <c r="L36" s="43">
        <f>Master!F10</f>
        <v>-117.11899999999999</v>
      </c>
      <c r="M36" s="406">
        <v>-34.448</v>
      </c>
      <c r="N36" s="406">
        <v>-48.036000000000001</v>
      </c>
      <c r="O36" s="406">
        <v>-44.5</v>
      </c>
      <c r="P36" s="59">
        <f>-176-M36-N36-O36</f>
        <v>-49.015999999999991</v>
      </c>
      <c r="Q36" s="43">
        <f>Master!G10</f>
        <v>-174</v>
      </c>
      <c r="R36" s="59">
        <v>-52</v>
      </c>
      <c r="S36" s="59">
        <v>-42.8</v>
      </c>
      <c r="T36" s="59">
        <v>-57</v>
      </c>
      <c r="U36" s="59">
        <v>-64</v>
      </c>
      <c r="V36" s="43">
        <f>Master!H10</f>
        <v>-215</v>
      </c>
      <c r="W36" s="59">
        <v>-63</v>
      </c>
      <c r="X36" s="59">
        <v>-64</v>
      </c>
      <c r="Y36" s="1261">
        <v>-70</v>
      </c>
      <c r="Z36" s="43">
        <f>AA36-Y36-X36-W36</f>
        <v>-71.75</v>
      </c>
      <c r="AA36" s="43">
        <f>Master!I10</f>
        <v>-268.75</v>
      </c>
      <c r="AC36" s="253"/>
      <c r="AD36" s="256">
        <f>I36/E36-1</f>
        <v>0.31277533039647576</v>
      </c>
      <c r="AE36" s="256">
        <f>J36/F36-1</f>
        <v>-0.10344827586206884</v>
      </c>
      <c r="AF36" s="256">
        <f>K36/G36-1</f>
        <v>-0.17086956521739105</v>
      </c>
      <c r="AH36" s="256">
        <f>M36/H36-1</f>
        <v>0.309809885931559</v>
      </c>
      <c r="AI36" s="256">
        <f>N36/I36-1</f>
        <v>0.61194630872483224</v>
      </c>
      <c r="AJ36" s="256">
        <f>O36/J36-1</f>
        <v>0.55594405594405583</v>
      </c>
      <c r="AK36" s="256">
        <f>P36/K36-1</f>
        <v>0.51195286714580868</v>
      </c>
      <c r="AL36" s="256"/>
      <c r="AM36" s="256">
        <f>R36/M36-1</f>
        <v>0.50952159777055273</v>
      </c>
      <c r="AN36" s="256">
        <f>S36/N36-1</f>
        <v>-0.1090015821467234</v>
      </c>
      <c r="AO36" s="256">
        <f>T36/O36-1</f>
        <v>0.2808988764044944</v>
      </c>
      <c r="AP36" s="256">
        <f>U36/P36-1</f>
        <v>0.30569609923290386</v>
      </c>
    </row>
    <row r="37" spans="2:42" x14ac:dyDescent="0.6">
      <c r="B37" s="37"/>
      <c r="C37" s="37"/>
      <c r="J37" s="335"/>
      <c r="K37" s="276"/>
      <c r="M37" s="276"/>
      <c r="N37" s="276"/>
      <c r="O37" s="276"/>
      <c r="Y37" s="1096"/>
      <c r="Z37" s="1096"/>
      <c r="AC37" s="253"/>
      <c r="AD37" s="257"/>
      <c r="AE37" s="257"/>
      <c r="AF37" s="257"/>
      <c r="AH37" s="257"/>
      <c r="AI37" s="257"/>
      <c r="AJ37" s="257"/>
      <c r="AK37" s="257"/>
      <c r="AL37" s="257"/>
      <c r="AM37" s="257"/>
      <c r="AN37" s="257"/>
      <c r="AO37" s="257"/>
      <c r="AP37" s="257"/>
    </row>
    <row r="38" spans="2:42" x14ac:dyDescent="0.6">
      <c r="B38" s="29" t="s">
        <v>90</v>
      </c>
      <c r="C38" s="29"/>
      <c r="D38" s="59"/>
      <c r="E38" s="59">
        <v>-19</v>
      </c>
      <c r="F38" s="59">
        <v>-32.9</v>
      </c>
      <c r="G38" s="59">
        <v>-55.6</v>
      </c>
      <c r="H38" s="59">
        <v>-71.3</v>
      </c>
      <c r="I38" s="59">
        <v>-82.7</v>
      </c>
      <c r="J38" s="59">
        <v>-127</v>
      </c>
      <c r="K38" s="59">
        <v>-199.63400000000001</v>
      </c>
      <c r="L38" s="43">
        <f>Master!F12</f>
        <v>-480.64299999999997</v>
      </c>
      <c r="M38" s="59">
        <v>-275.72199999999998</v>
      </c>
      <c r="N38" s="59">
        <v>-338.49200000000002</v>
      </c>
      <c r="O38" s="59">
        <v>-375.5</v>
      </c>
      <c r="P38" s="59">
        <f>-1404.9-M38-N38-O38</f>
        <v>-415.18600000000015</v>
      </c>
      <c r="Q38" s="43">
        <f>Master!G12</f>
        <v>-1405</v>
      </c>
      <c r="R38" s="59">
        <v>-474</v>
      </c>
      <c r="S38" s="59">
        <v>-590.4</v>
      </c>
      <c r="T38" s="59">
        <v>-627</v>
      </c>
      <c r="U38" s="59">
        <v>-593</v>
      </c>
      <c r="V38" s="43">
        <f>Master!H12</f>
        <v>-2285</v>
      </c>
      <c r="W38" s="59">
        <v>-831</v>
      </c>
      <c r="X38" s="59">
        <v>-760</v>
      </c>
      <c r="Y38" s="43">
        <f>-Y39*Y6</f>
        <v>-874.27910095514449</v>
      </c>
      <c r="Z38" s="43">
        <f>AA38-W38-X38-Y38</f>
        <v>-932.48689904485514</v>
      </c>
      <c r="AA38" s="43">
        <f>Master!I12</f>
        <v>-3397.7659999999996</v>
      </c>
      <c r="AC38" s="253"/>
      <c r="AD38" s="256">
        <f>I38/E38-1</f>
        <v>3.3526315789473689</v>
      </c>
      <c r="AE38" s="256">
        <f>J38/F38-1</f>
        <v>2.8601823708206688</v>
      </c>
      <c r="AF38" s="256">
        <f>K38/G38-1</f>
        <v>2.5905395683453238</v>
      </c>
      <c r="AH38" s="256">
        <f>M38/H38-1</f>
        <v>2.8670687237026646</v>
      </c>
      <c r="AI38" s="256">
        <f>N38/I38-1</f>
        <v>3.0930108827085849</v>
      </c>
      <c r="AJ38" s="256">
        <f>O38/J38-1</f>
        <v>1.9566929133858268</v>
      </c>
      <c r="AK38" s="256">
        <f>P38/K38-1</f>
        <v>1.0797359167276119</v>
      </c>
      <c r="AL38" s="256"/>
      <c r="AM38" s="256">
        <f>R38/M38-1</f>
        <v>0.71912288464467844</v>
      </c>
      <c r="AN38" s="256">
        <f>S38/N38-1</f>
        <v>0.74420665776443751</v>
      </c>
      <c r="AO38" s="256">
        <f>T38/O38-1</f>
        <v>0.66977363515312915</v>
      </c>
      <c r="AP38" s="256">
        <f>U38/P38-1</f>
        <v>0.4282755198874717</v>
      </c>
    </row>
    <row r="39" spans="2:42" x14ac:dyDescent="0.6">
      <c r="B39" s="893" t="s">
        <v>1187</v>
      </c>
      <c r="C39" s="29"/>
      <c r="D39" s="59"/>
      <c r="E39" s="59"/>
      <c r="F39" s="59"/>
      <c r="G39" s="894">
        <f>-G38/G6</f>
        <v>0.27443237907206314</v>
      </c>
      <c r="H39" s="894">
        <f>-H38/H6</f>
        <v>0.2910204081632653</v>
      </c>
      <c r="I39" s="894">
        <f>-I38/I6</f>
        <v>0.24605772091639391</v>
      </c>
      <c r="J39" s="894">
        <f>-J38/J6</f>
        <v>0.26408816801829904</v>
      </c>
      <c r="K39" s="894">
        <f>-K38/K6</f>
        <v>0.31391955215900869</v>
      </c>
      <c r="M39" s="894">
        <f t="shared" ref="M39:R39" si="17">-M38/M6</f>
        <v>0.31429655965629616</v>
      </c>
      <c r="N39" s="894">
        <f t="shared" si="17"/>
        <v>0.29241828292418282</v>
      </c>
      <c r="O39" s="894">
        <f t="shared" si="17"/>
        <v>0.28732114163287165</v>
      </c>
      <c r="P39" s="894">
        <f t="shared" si="17"/>
        <v>0.28628146995873888</v>
      </c>
      <c r="Q39" s="894">
        <f t="shared" si="17"/>
        <v>0.2933089445032338</v>
      </c>
      <c r="R39" s="894">
        <f t="shared" si="17"/>
        <v>0.29287208657150593</v>
      </c>
      <c r="S39" s="894">
        <f>-S38/S6</f>
        <v>0.31595847158300333</v>
      </c>
      <c r="T39" s="894">
        <f>-T38/T6</f>
        <v>0.29343519481382546</v>
      </c>
      <c r="U39" s="894">
        <f>-U38/U6</f>
        <v>0.24606830158927756</v>
      </c>
      <c r="W39" s="894">
        <f>-W38/W6</f>
        <v>0.30372807017543857</v>
      </c>
      <c r="X39" s="894">
        <f>-X38/X6</f>
        <v>0.26678835960262576</v>
      </c>
      <c r="Y39" s="970">
        <v>0.28000000000000003</v>
      </c>
      <c r="Z39" s="894">
        <f>-Z38/Z6</f>
        <v>0.28687178257180973</v>
      </c>
      <c r="AC39" s="253"/>
      <c r="AD39" s="484"/>
      <c r="AE39" s="484"/>
      <c r="AF39" s="484"/>
      <c r="AG39"/>
      <c r="AH39" s="484"/>
      <c r="AI39" s="484"/>
      <c r="AJ39" s="484"/>
      <c r="AK39" s="484"/>
      <c r="AL39" s="484"/>
      <c r="AM39" s="484"/>
      <c r="AN39" s="484"/>
      <c r="AO39" s="484"/>
      <c r="AP39" s="484"/>
    </row>
    <row r="40" spans="2:42" x14ac:dyDescent="0.6">
      <c r="B40" s="1088" t="s">
        <v>1611</v>
      </c>
      <c r="C40" s="29"/>
      <c r="D40" s="59"/>
      <c r="E40" s="59"/>
      <c r="F40" s="59"/>
      <c r="G40" s="894">
        <f>-G38/(G7-G11)</f>
        <v>0.61984392419175027</v>
      </c>
      <c r="H40" s="894">
        <f>-H38/(H7-H11)</f>
        <v>0.79222222222222216</v>
      </c>
      <c r="I40" s="894">
        <f>-I38/(I7-I11)</f>
        <v>0.63615384615384618</v>
      </c>
      <c r="J40" s="894">
        <f>-J38/(J7-J11)</f>
        <v>0.70949720670391059</v>
      </c>
      <c r="K40" s="894">
        <f>-K38/(K7-K11)</f>
        <v>0.79219841269841274</v>
      </c>
      <c r="M40" s="894">
        <f>-M38/(M7-M11)</f>
        <v>0.71802604166666661</v>
      </c>
      <c r="N40" s="894">
        <f t="shared" ref="N40:S40" si="18">-N38/(N7-N11)</f>
        <v>0.71714406779661022</v>
      </c>
      <c r="O40" s="894">
        <f t="shared" si="18"/>
        <v>0.7333984375</v>
      </c>
      <c r="P40" s="894">
        <f t="shared" si="18"/>
        <v>0.71707426597582069</v>
      </c>
      <c r="Q40" s="894"/>
      <c r="R40" s="894">
        <f t="shared" si="18"/>
        <v>0.64604413817166784</v>
      </c>
      <c r="S40" s="894">
        <f t="shared" si="18"/>
        <v>0.62344244984160502</v>
      </c>
      <c r="T40" s="894">
        <f t="shared" ref="T40:U40" si="19">-T38/(T7-T11)</f>
        <v>0.5533194312193942</v>
      </c>
      <c r="U40" s="894">
        <f t="shared" si="19"/>
        <v>0.43694732242659762</v>
      </c>
      <c r="W40" s="894"/>
      <c r="X40" s="894"/>
      <c r="Y40" s="970"/>
      <c r="Z40" s="894"/>
      <c r="AC40" s="253"/>
      <c r="AD40" s="484"/>
      <c r="AE40" s="484"/>
      <c r="AF40" s="484"/>
      <c r="AG40"/>
      <c r="AH40" s="484"/>
      <c r="AI40" s="484"/>
      <c r="AJ40" s="484"/>
      <c r="AK40" s="484"/>
      <c r="AL40" s="484"/>
      <c r="AM40" s="484"/>
      <c r="AN40" s="484"/>
      <c r="AO40" s="484"/>
      <c r="AP40" s="484"/>
    </row>
    <row r="41" spans="2:42" x14ac:dyDescent="0.6">
      <c r="B41" s="424" t="s">
        <v>1612</v>
      </c>
      <c r="C41" s="424"/>
      <c r="D41" s="59"/>
      <c r="E41" s="59"/>
      <c r="F41" s="59"/>
      <c r="G41" s="427">
        <f>-G38*4/AVERAGE(F248:G248)</f>
        <v>6.6987951807228913E-2</v>
      </c>
      <c r="H41" s="427">
        <f>-H38*4/AVERAGE(G248:H248)</f>
        <v>8.6176159540716113E-2</v>
      </c>
      <c r="I41" s="427">
        <f>-I38*4/AVERAGE(H248:I248)</f>
        <v>8.292805214339434E-2</v>
      </c>
      <c r="J41" s="427">
        <f>-J38*4/AVERAGE(I248:J248)</f>
        <v>0.1021105527638191</v>
      </c>
      <c r="K41" s="427">
        <f>-K38*4/AVERAGE(J248:K248)</f>
        <v>0.13495024092644192</v>
      </c>
      <c r="L41" s="38"/>
      <c r="M41" s="427">
        <f>-M38*4/AVERAGE(L248:M248)</f>
        <v>0.12501693227622274</v>
      </c>
      <c r="N41" s="427">
        <f>-N38*4/AVERAGE(M248:N248)</f>
        <v>0.15091224652287569</v>
      </c>
      <c r="O41" s="427">
        <f>-O38*4/AVERAGE(N248:O248)</f>
        <v>0.15945748783220995</v>
      </c>
      <c r="P41" s="427">
        <f>-P38*4/AVERAGE(O248:P248)</f>
        <v>0.15836210982479415</v>
      </c>
      <c r="Q41" s="38"/>
      <c r="R41" s="427">
        <f>-R38*4/AVERAGE(Q248:R248)</f>
        <v>0.14800936768149883</v>
      </c>
      <c r="S41" s="427">
        <f>-S38*4/AVERAGE(R248:S248)</f>
        <v>0.17073452862926547</v>
      </c>
      <c r="T41" s="427">
        <f>-T38*4/AVERAGE(S248:T248)</f>
        <v>0.16559112764322692</v>
      </c>
      <c r="U41" s="427">
        <f>-U38*4/AVERAGE(T248:U248)</f>
        <v>0.14093261145574176</v>
      </c>
      <c r="V41" s="38">
        <f>-V38/AVERAGE(V248,Q248)</f>
        <v>0.12538410886742757</v>
      </c>
      <c r="W41" s="427">
        <f>-W38*4/AVERAGE(V248:W248)</f>
        <v>0.17588837120701015</v>
      </c>
      <c r="X41" s="427">
        <f>-X38*4/AVERAGE(W248:X248)</f>
        <v>0.1577411917954136</v>
      </c>
      <c r="Y41" s="427">
        <f>-Y38*4/AVERAGE(X248:Y248)</f>
        <v>0.17562853161779959</v>
      </c>
      <c r="Z41" s="427">
        <f>-Z38*4/AVERAGE(Y248:Z248)</f>
        <v>0.17234293178644036</v>
      </c>
      <c r="AA41" s="38">
        <f>-AA38/AVERAGE(AA248,V248)</f>
        <v>0.16714454370497783</v>
      </c>
      <c r="AC41" s="253"/>
      <c r="AD41" s="484"/>
      <c r="AE41" s="484"/>
      <c r="AF41" s="484"/>
      <c r="AG41"/>
      <c r="AH41" s="484"/>
      <c r="AI41" s="484"/>
      <c r="AJ41" s="484"/>
      <c r="AK41" s="484"/>
      <c r="AL41" s="484"/>
      <c r="AM41" s="484"/>
      <c r="AN41" s="484"/>
      <c r="AO41" s="484"/>
      <c r="AP41" s="484"/>
    </row>
    <row r="42" spans="2:42" x14ac:dyDescent="0.6">
      <c r="B42" s="1091" t="s">
        <v>1608</v>
      </c>
      <c r="C42" s="424"/>
      <c r="D42" s="59"/>
      <c r="E42" s="59"/>
      <c r="F42" s="59"/>
      <c r="G42" s="427"/>
      <c r="H42" s="427"/>
      <c r="I42" s="427"/>
      <c r="J42" s="427"/>
      <c r="K42" s="427"/>
      <c r="L42" s="38"/>
      <c r="M42" s="427"/>
      <c r="N42" s="427"/>
      <c r="O42" s="427"/>
      <c r="P42" s="427"/>
      <c r="Q42" s="38"/>
      <c r="R42" s="427"/>
      <c r="S42" s="427"/>
      <c r="T42" s="427"/>
      <c r="U42" s="427"/>
      <c r="V42" s="38"/>
      <c r="W42" s="427"/>
      <c r="X42" s="427"/>
      <c r="Y42" s="427"/>
      <c r="Z42" s="427"/>
      <c r="AA42" s="38"/>
      <c r="AC42" s="253"/>
      <c r="AD42" s="484"/>
      <c r="AE42" s="484"/>
      <c r="AF42" s="484"/>
      <c r="AG42"/>
      <c r="AH42" s="484"/>
      <c r="AI42" s="484"/>
      <c r="AJ42" s="484"/>
      <c r="AK42" s="484"/>
      <c r="AL42" s="484"/>
      <c r="AM42" s="484"/>
      <c r="AN42" s="484"/>
      <c r="AO42" s="484"/>
      <c r="AP42" s="484"/>
    </row>
    <row r="43" spans="2:42" x14ac:dyDescent="0.6">
      <c r="B43" s="1094" t="s">
        <v>1610</v>
      </c>
      <c r="C43" s="424"/>
      <c r="D43" s="59"/>
      <c r="E43" s="59"/>
      <c r="F43" s="59"/>
      <c r="G43" s="427"/>
      <c r="H43" s="427"/>
      <c r="I43" s="427"/>
      <c r="J43" s="427"/>
      <c r="K43" s="427"/>
      <c r="L43" s="38"/>
      <c r="M43" s="59">
        <f>-383-N43</f>
        <v>-167</v>
      </c>
      <c r="N43" s="59">
        <v>-216</v>
      </c>
      <c r="O43" s="427"/>
      <c r="P43" s="427"/>
      <c r="Q43" s="38"/>
      <c r="R43" s="59">
        <f>-834-S43</f>
        <v>-369</v>
      </c>
      <c r="S43" s="59">
        <v>-465</v>
      </c>
      <c r="T43" s="59">
        <v>-458</v>
      </c>
      <c r="U43" s="59">
        <f>-1690-R43-S43-T43</f>
        <v>-398</v>
      </c>
      <c r="V43" s="38"/>
      <c r="W43" s="59">
        <v>-554</v>
      </c>
      <c r="X43" s="59">
        <v>-500</v>
      </c>
      <c r="Y43" s="1261">
        <v>-530</v>
      </c>
      <c r="Z43" s="43">
        <f>-'Revenue and Expenses breakdown'!H127-W43-X43-Y43</f>
        <v>-599.46599999999989</v>
      </c>
      <c r="AA43" s="38"/>
      <c r="AC43" s="253"/>
      <c r="AD43" s="484"/>
      <c r="AE43" s="484"/>
      <c r="AF43" s="484"/>
      <c r="AG43"/>
      <c r="AH43" s="484"/>
      <c r="AI43" s="484"/>
      <c r="AJ43" s="484"/>
      <c r="AK43" s="484"/>
      <c r="AL43" s="484"/>
      <c r="AM43" s="484"/>
      <c r="AN43" s="484"/>
      <c r="AO43" s="484"/>
      <c r="AP43" s="484"/>
    </row>
    <row r="44" spans="2:42" x14ac:dyDescent="0.6">
      <c r="B44" s="1088" t="s">
        <v>1607</v>
      </c>
      <c r="C44" s="424"/>
      <c r="D44" s="59"/>
      <c r="E44" s="59"/>
      <c r="F44" s="59"/>
      <c r="G44" s="427"/>
      <c r="H44" s="427"/>
      <c r="I44" s="427"/>
      <c r="J44" s="427"/>
      <c r="K44" s="427"/>
      <c r="L44" s="38"/>
      <c r="M44" s="951"/>
      <c r="N44" s="951"/>
      <c r="O44" s="427"/>
      <c r="P44" s="427"/>
      <c r="Q44" s="38"/>
      <c r="R44" s="951"/>
      <c r="S44" s="951"/>
      <c r="T44" s="951"/>
      <c r="U44" s="951"/>
      <c r="V44" s="38"/>
      <c r="W44" s="951"/>
      <c r="X44" s="951"/>
      <c r="Y44" s="427"/>
      <c r="Z44" s="427"/>
      <c r="AA44" s="38"/>
      <c r="AC44" s="253"/>
      <c r="AD44" s="484"/>
      <c r="AE44" s="484"/>
      <c r="AF44" s="484"/>
      <c r="AG44"/>
      <c r="AH44" s="484"/>
      <c r="AI44" s="484"/>
      <c r="AJ44" s="484"/>
      <c r="AK44" s="484"/>
      <c r="AL44" s="484"/>
      <c r="AM44" s="484"/>
      <c r="AN44" s="484"/>
      <c r="AO44" s="484"/>
      <c r="AP44" s="484"/>
    </row>
    <row r="45" spans="2:42" x14ac:dyDescent="0.6">
      <c r="B45" s="1094" t="s">
        <v>1609</v>
      </c>
      <c r="C45" s="424"/>
      <c r="D45" s="59"/>
      <c r="E45" s="59"/>
      <c r="F45" s="59"/>
      <c r="G45" s="427"/>
      <c r="H45" s="427"/>
      <c r="I45" s="427"/>
      <c r="J45" s="427"/>
      <c r="K45" s="427"/>
      <c r="L45" s="38"/>
      <c r="M45" s="97">
        <f>M38-M43</f>
        <v>-108.72199999999998</v>
      </c>
      <c r="N45" s="97">
        <f>N38-N43</f>
        <v>-122.49200000000002</v>
      </c>
      <c r="O45" s="427"/>
      <c r="P45" s="427"/>
      <c r="Q45" s="38"/>
      <c r="R45" s="97">
        <f>R38-R43</f>
        <v>-105</v>
      </c>
      <c r="S45" s="97">
        <f>S38-S43</f>
        <v>-125.39999999999998</v>
      </c>
      <c r="T45" s="97">
        <f>T38-T43</f>
        <v>-169</v>
      </c>
      <c r="U45" s="97">
        <f>U38-U43</f>
        <v>-195</v>
      </c>
      <c r="V45" s="38"/>
      <c r="W45" s="97">
        <f>W38-W43</f>
        <v>-277</v>
      </c>
      <c r="X45" s="97">
        <f>X38-X43</f>
        <v>-260</v>
      </c>
      <c r="Y45" s="427"/>
      <c r="Z45" s="427"/>
      <c r="AA45" s="38"/>
      <c r="AC45" s="253"/>
      <c r="AD45" s="484"/>
      <c r="AE45" s="484"/>
      <c r="AF45" s="484"/>
      <c r="AG45"/>
      <c r="AH45" s="484"/>
      <c r="AI45" s="484"/>
      <c r="AJ45" s="484"/>
      <c r="AK45" s="484"/>
      <c r="AL45" s="484"/>
      <c r="AM45" s="484"/>
      <c r="AN45" s="484"/>
      <c r="AO45" s="484"/>
      <c r="AP45" s="484"/>
    </row>
    <row r="46" spans="2:42" x14ac:dyDescent="0.6">
      <c r="B46" s="1094"/>
      <c r="C46" s="424"/>
      <c r="D46" s="59"/>
      <c r="E46" s="59"/>
      <c r="F46" s="59"/>
      <c r="G46" s="427"/>
      <c r="H46" s="427"/>
      <c r="I46" s="427"/>
      <c r="J46" s="427"/>
      <c r="K46" s="427"/>
      <c r="L46" s="38"/>
      <c r="M46" s="894"/>
      <c r="N46" s="894">
        <f>-(N45*N50)/N433</f>
        <v>0.61799606462137957</v>
      </c>
      <c r="O46" s="427"/>
      <c r="P46" s="427"/>
      <c r="Q46" s="38"/>
      <c r="R46" s="894">
        <f>-(R45*R50)/R433</f>
        <v>0.44893500000000003</v>
      </c>
      <c r="S46" s="894">
        <f>-(S45*S50)/S433</f>
        <v>0.42090595890410959</v>
      </c>
      <c r="T46" s="894">
        <f>-(T45*T50)/T433</f>
        <v>0.45406122471910104</v>
      </c>
      <c r="U46" s="894">
        <f>-(U45*U50)/U433</f>
        <v>0.47779875000000005</v>
      </c>
      <c r="V46" s="38"/>
      <c r="W46" s="894">
        <f>-(W45*W50)/W433</f>
        <v>0.55403603252032518</v>
      </c>
      <c r="X46" s="894"/>
      <c r="Y46" s="427"/>
      <c r="Z46" s="427"/>
      <c r="AA46" s="38"/>
      <c r="AC46" s="253"/>
      <c r="AD46" s="484"/>
      <c r="AE46" s="484"/>
      <c r="AF46" s="484"/>
      <c r="AG46"/>
      <c r="AH46" s="484"/>
      <c r="AI46" s="484"/>
      <c r="AJ46" s="484"/>
      <c r="AK46" s="484"/>
      <c r="AL46" s="484"/>
      <c r="AM46" s="484"/>
      <c r="AN46" s="484"/>
      <c r="AO46" s="484"/>
      <c r="AP46" s="484"/>
    </row>
    <row r="47" spans="2:42" x14ac:dyDescent="0.6">
      <c r="B47" s="29"/>
      <c r="C47" s="29"/>
      <c r="D47" s="59"/>
      <c r="E47" s="59"/>
      <c r="F47" s="59"/>
      <c r="G47" s="59"/>
      <c r="H47" s="59"/>
      <c r="I47" s="59"/>
      <c r="J47" s="59"/>
      <c r="K47" s="59"/>
      <c r="M47" s="59"/>
      <c r="N47" s="59"/>
      <c r="O47" s="59"/>
      <c r="Y47" s="1096"/>
      <c r="Z47" s="1096"/>
      <c r="AC47" s="253"/>
      <c r="AD47" s="256"/>
      <c r="AE47" s="256"/>
      <c r="AF47" s="256"/>
      <c r="AH47" s="256"/>
      <c r="AI47" s="256"/>
      <c r="AJ47" s="256"/>
      <c r="AK47" s="256"/>
      <c r="AL47" s="256"/>
      <c r="AM47" s="256"/>
      <c r="AN47" s="256"/>
      <c r="AO47" s="256"/>
      <c r="AP47" s="256"/>
    </row>
    <row r="48" spans="2:42" x14ac:dyDescent="0.6">
      <c r="B48" s="89" t="s">
        <v>91</v>
      </c>
      <c r="C48" s="89"/>
      <c r="D48" s="44"/>
      <c r="E48" s="44">
        <f t="shared" ref="E48:K48" si="20">E25+E36+E38</f>
        <v>-67</v>
      </c>
      <c r="F48" s="43">
        <f t="shared" si="20"/>
        <v>-88.8</v>
      </c>
      <c r="G48" s="43">
        <f t="shared" si="20"/>
        <v>-126.1</v>
      </c>
      <c r="H48" s="43">
        <f t="shared" si="20"/>
        <v>-129.30000000000001</v>
      </c>
      <c r="I48" s="43">
        <f t="shared" si="20"/>
        <v>-169.7</v>
      </c>
      <c r="J48" s="43">
        <f t="shared" si="20"/>
        <v>-257</v>
      </c>
      <c r="K48" s="43">
        <f t="shared" si="20"/>
        <v>-409.053</v>
      </c>
      <c r="L48" s="43">
        <f>Master!F13</f>
        <v>-965.10599999999999</v>
      </c>
      <c r="M48" s="43">
        <f>M25+M36+M38</f>
        <v>-583.173</v>
      </c>
      <c r="N48" s="43">
        <f>N25+N36+N38</f>
        <v>-794.02800000000002</v>
      </c>
      <c r="O48" s="43">
        <f>O25+O36+O38</f>
        <v>-879.9</v>
      </c>
      <c r="P48" s="43">
        <f>P25+P36+P38</f>
        <v>-870.79900000000021</v>
      </c>
      <c r="Q48" s="43">
        <f>Master!G13</f>
        <v>-3127</v>
      </c>
      <c r="R48" s="43">
        <f>R25+R36+R38</f>
        <v>-966.12099999999998</v>
      </c>
      <c r="S48" s="43">
        <f>S25+S36+S38</f>
        <v>-1086.5999999999999</v>
      </c>
      <c r="T48" s="43">
        <f>T25+T36+T38</f>
        <v>-1221.6489999999999</v>
      </c>
      <c r="U48" s="43">
        <f>U25+U36+U38</f>
        <v>-1261.83</v>
      </c>
      <c r="V48" s="43">
        <f>Master!H13</f>
        <v>-4536</v>
      </c>
      <c r="W48" s="43">
        <f>W25+W36+W38</f>
        <v>-1554</v>
      </c>
      <c r="X48" s="43">
        <f>X25+X36+X38</f>
        <v>-1489</v>
      </c>
      <c r="Y48" s="43">
        <f>Y25+Y36+Y38</f>
        <v>-1668.4368509551446</v>
      </c>
      <c r="Z48" s="43">
        <f>Z25+Z36+Z38</f>
        <v>-1799.499609133032</v>
      </c>
      <c r="AA48" s="43">
        <f>Master!I13</f>
        <v>-6510.9364600881763</v>
      </c>
      <c r="AC48" s="253"/>
      <c r="AD48" s="256">
        <f>I48/E48-1</f>
        <v>1.5328358208955222</v>
      </c>
      <c r="AE48" s="256">
        <f>J48/F48-1</f>
        <v>1.8941441441441444</v>
      </c>
      <c r="AF48" s="256">
        <f>K48/G48-1</f>
        <v>2.2438778747026169</v>
      </c>
      <c r="AH48" s="256">
        <f>M48/H48-1</f>
        <v>3.5102320185614841</v>
      </c>
      <c r="AI48" s="256">
        <f>N48/I48-1</f>
        <v>3.6790100176782561</v>
      </c>
      <c r="AJ48" s="256">
        <f>O48/J48-1</f>
        <v>2.4237354085603111</v>
      </c>
      <c r="AK48" s="256">
        <f>P48/K48-1</f>
        <v>1.1288170481575741</v>
      </c>
      <c r="AL48" s="256"/>
      <c r="AM48" s="256">
        <f>R48/M48-1</f>
        <v>0.65666277416821428</v>
      </c>
      <c r="AN48" s="256">
        <f>S48/N48-1</f>
        <v>0.36846559567168891</v>
      </c>
      <c r="AO48" s="256">
        <f>T48/O48-1</f>
        <v>0.38839527219002146</v>
      </c>
      <c r="AP48" s="256">
        <f>U48/P48-1</f>
        <v>0.44904851751092911</v>
      </c>
    </row>
    <row r="49" spans="2:42" x14ac:dyDescent="0.6">
      <c r="B49" s="17"/>
      <c r="C49" s="17"/>
      <c r="E49" s="335"/>
      <c r="F49" s="335"/>
      <c r="G49" s="335"/>
      <c r="H49" s="335"/>
      <c r="I49" s="335"/>
      <c r="J49" s="335"/>
      <c r="K49" s="335"/>
      <c r="M49" s="335"/>
      <c r="N49" s="335"/>
      <c r="O49" s="335"/>
      <c r="AC49" s="507"/>
      <c r="AD49" s="256"/>
      <c r="AE49" s="256"/>
      <c r="AF49" s="256"/>
      <c r="AH49" s="256"/>
      <c r="AI49" s="256"/>
      <c r="AJ49" s="256"/>
      <c r="AK49" s="256"/>
      <c r="AL49" s="256"/>
      <c r="AM49" s="256"/>
      <c r="AN49" s="256"/>
      <c r="AO49" s="256"/>
      <c r="AP49" s="256"/>
    </row>
    <row r="50" spans="2:42" x14ac:dyDescent="0.6">
      <c r="B50" s="40" t="s">
        <v>1099</v>
      </c>
      <c r="C50" s="40"/>
      <c r="D50" s="289">
        <v>4.4631599999999985</v>
      </c>
      <c r="E50" s="289">
        <v>5.3755646153846151</v>
      </c>
      <c r="F50" s="289">
        <v>5.3789787878787871</v>
      </c>
      <c r="G50" s="289">
        <v>5.3990742424242431</v>
      </c>
      <c r="H50" s="289">
        <v>5.4777406249999983</v>
      </c>
      <c r="I50" s="289">
        <v>5.2967830769230799</v>
      </c>
      <c r="J50" s="289">
        <v>5.2313954545454555</v>
      </c>
      <c r="K50" s="289">
        <v>5.5854212121212115</v>
      </c>
      <c r="L50" s="59"/>
      <c r="M50" s="289">
        <v>5.2281369230769217</v>
      </c>
      <c r="N50" s="289">
        <v>4.9210707692307709</v>
      </c>
      <c r="O50" s="289">
        <v>5.2464393939393945</v>
      </c>
      <c r="P50" s="289">
        <v>5.26</v>
      </c>
      <c r="Q50" s="59"/>
      <c r="R50" s="289">
        <v>5.19</v>
      </c>
      <c r="S50" s="289">
        <v>4.95</v>
      </c>
      <c r="T50" s="289">
        <v>4.8899999999999997</v>
      </c>
      <c r="U50" s="289">
        <v>4.95</v>
      </c>
      <c r="V50" s="289"/>
      <c r="W50" s="289">
        <v>4.96</v>
      </c>
      <c r="X50" s="289">
        <v>5.2</v>
      </c>
      <c r="Y50" s="289">
        <v>5.5</v>
      </c>
      <c r="Z50" s="289">
        <v>5.5</v>
      </c>
      <c r="AA50" s="289">
        <f>AVERAGE(W50:Z50)</f>
        <v>5.29</v>
      </c>
      <c r="AC50" s="507"/>
      <c r="AD50" s="256"/>
      <c r="AE50" s="256"/>
      <c r="AF50" s="256"/>
      <c r="AH50" s="256"/>
      <c r="AI50" s="256"/>
      <c r="AJ50" s="256"/>
      <c r="AK50" s="256"/>
      <c r="AL50" s="256"/>
      <c r="AM50" s="256"/>
      <c r="AN50" s="256"/>
      <c r="AO50" s="256"/>
      <c r="AP50" s="256"/>
    </row>
    <row r="51" spans="2:42" x14ac:dyDescent="0.6">
      <c r="B51" s="40"/>
      <c r="C51" s="40"/>
      <c r="D51" s="486"/>
      <c r="E51" s="486"/>
      <c r="F51" s="486"/>
      <c r="G51" s="486"/>
      <c r="H51" s="486"/>
      <c r="I51" s="486"/>
      <c r="J51" s="486"/>
      <c r="K51" s="486"/>
      <c r="L51" s="59"/>
      <c r="M51" s="486"/>
      <c r="N51" s="486"/>
      <c r="O51" s="486"/>
      <c r="P51" s="486"/>
      <c r="Q51" s="59"/>
      <c r="R51" s="59"/>
      <c r="S51" s="59"/>
      <c r="T51" s="59"/>
      <c r="U51" s="59"/>
      <c r="V51" s="486"/>
      <c r="W51" s="59"/>
      <c r="X51" s="59"/>
      <c r="Y51" s="486"/>
      <c r="Z51" s="486"/>
      <c r="AA51" s="486"/>
      <c r="AC51" s="530"/>
      <c r="AD51" s="484"/>
      <c r="AE51" s="484"/>
      <c r="AF51" s="484"/>
      <c r="AG51"/>
      <c r="AH51" s="484"/>
      <c r="AI51" s="484"/>
      <c r="AJ51" s="484"/>
      <c r="AK51" s="484"/>
      <c r="AL51" s="484"/>
      <c r="AM51" s="484"/>
      <c r="AN51" s="484"/>
      <c r="AO51" s="484"/>
      <c r="AP51" s="484"/>
    </row>
    <row r="52" spans="2:42" x14ac:dyDescent="0.6">
      <c r="B52" s="483" t="s">
        <v>865</v>
      </c>
      <c r="C52" s="483"/>
      <c r="D52" s="486"/>
      <c r="E52" s="486"/>
      <c r="F52" s="486"/>
      <c r="G52" s="486"/>
      <c r="H52" s="486"/>
      <c r="I52" s="486"/>
      <c r="J52" s="486"/>
      <c r="K52" s="486"/>
      <c r="L52" s="59"/>
      <c r="M52" s="486"/>
      <c r="N52" s="486"/>
      <c r="O52" s="486"/>
      <c r="P52" s="486"/>
      <c r="Q52" s="59"/>
      <c r="R52" s="59"/>
      <c r="S52" s="59"/>
      <c r="T52" s="59"/>
      <c r="U52" s="59"/>
      <c r="W52" s="59"/>
      <c r="X52" s="59"/>
      <c r="Y52" s="486"/>
      <c r="Z52" s="486"/>
      <c r="AC52" s="507"/>
      <c r="AD52" s="256"/>
      <c r="AE52" s="256"/>
      <c r="AF52" s="256"/>
      <c r="AH52" s="256"/>
      <c r="AI52" s="256"/>
      <c r="AJ52" s="256"/>
      <c r="AK52" s="256"/>
      <c r="AL52" s="256"/>
      <c r="AM52" s="256"/>
      <c r="AN52" s="256"/>
      <c r="AO52" s="256"/>
      <c r="AP52" s="256"/>
    </row>
    <row r="53" spans="2:42" x14ac:dyDescent="0.6">
      <c r="B53" s="89" t="str">
        <f>B6</f>
        <v>Total Revenue</v>
      </c>
      <c r="C53" s="89"/>
      <c r="D53" s="23">
        <f t="shared" ref="D53:K53" si="21">D6*D50</f>
        <v>964.48887599999955</v>
      </c>
      <c r="E53" s="23">
        <f t="shared" si="21"/>
        <v>872.45413707692308</v>
      </c>
      <c r="F53" s="23">
        <f t="shared" si="21"/>
        <v>839.65858878787878</v>
      </c>
      <c r="G53" s="23">
        <f t="shared" si="21"/>
        <v>1093.8524415151517</v>
      </c>
      <c r="H53" s="23">
        <f t="shared" si="21"/>
        <v>1342.0464531249995</v>
      </c>
      <c r="I53" s="23">
        <f t="shared" si="21"/>
        <v>1780.2487921538473</v>
      </c>
      <c r="J53" s="23">
        <f t="shared" si="21"/>
        <v>2515.7780740909093</v>
      </c>
      <c r="K53" s="23">
        <f t="shared" si="21"/>
        <v>3551.9927656363634</v>
      </c>
      <c r="L53" s="481"/>
      <c r="M53" s="23">
        <f>M6*M50</f>
        <v>4586.4719940969226</v>
      </c>
      <c r="N53" s="23">
        <f>N6*N50</f>
        <v>5696.4396007015412</v>
      </c>
      <c r="O53" s="23">
        <f>O6*O50</f>
        <v>6856.5716439393955</v>
      </c>
      <c r="P53" s="23">
        <f>P6*P50</f>
        <v>7628.4307199999994</v>
      </c>
      <c r="Q53" s="23"/>
      <c r="R53" s="23">
        <f>R6*R50</f>
        <v>8399.7762600000005</v>
      </c>
      <c r="S53" s="23">
        <f>S6*S50</f>
        <v>9249.57</v>
      </c>
      <c r="T53" s="23">
        <f>T6*T50</f>
        <v>10448.746619999998</v>
      </c>
      <c r="U53" s="23">
        <f>U6*U50</f>
        <v>11929.005000000001</v>
      </c>
      <c r="W53" s="23">
        <f>W6*W50</f>
        <v>13570.56</v>
      </c>
      <c r="X53" s="23">
        <f>X6*X50</f>
        <v>14813.240000000002</v>
      </c>
      <c r="Y53" s="23">
        <f>Y6*Y50</f>
        <v>17173.339483047479</v>
      </c>
      <c r="Z53" s="23">
        <f>Z6*Z50</f>
        <v>17877.944978652242</v>
      </c>
      <c r="AC53" s="507"/>
      <c r="AD53" s="256"/>
      <c r="AE53" s="256"/>
      <c r="AF53" s="256"/>
      <c r="AH53" s="256"/>
      <c r="AI53" s="256"/>
      <c r="AJ53" s="256"/>
      <c r="AK53" s="256"/>
      <c r="AL53" s="256"/>
      <c r="AM53" s="256"/>
      <c r="AN53" s="256"/>
      <c r="AO53" s="256"/>
      <c r="AP53" s="256"/>
    </row>
    <row r="54" spans="2:42" x14ac:dyDescent="0.6">
      <c r="B54" s="89" t="str">
        <f>B7</f>
        <v>Interest income and gains (losses) on financial instruments</v>
      </c>
      <c r="C54" s="89"/>
      <c r="D54" s="23"/>
      <c r="E54" s="23"/>
      <c r="F54" s="23"/>
      <c r="G54" s="23"/>
      <c r="H54" s="482">
        <f>H7*H$50</f>
        <v>697.31638156249971</v>
      </c>
      <c r="I54" s="482">
        <f>I7*I$50</f>
        <v>979.37519092307753</v>
      </c>
      <c r="J54" s="482">
        <f>J7*J$50</f>
        <v>1543.2616590909095</v>
      </c>
      <c r="K54" s="482">
        <f>K7*K$50</f>
        <v>2455.0160395757575</v>
      </c>
      <c r="L54" s="481"/>
      <c r="M54" s="482">
        <f>M7*M$50</f>
        <v>3238.5328200415374</v>
      </c>
      <c r="N54" s="482">
        <f>N7*N$50</f>
        <v>4197.7373400738479</v>
      </c>
      <c r="O54" s="482">
        <f>O7*O$50</f>
        <v>5179.8096136363638</v>
      </c>
      <c r="P54" s="482">
        <f>P7*P$50</f>
        <v>5760.9834399999991</v>
      </c>
      <c r="Q54" s="23"/>
      <c r="R54" s="482">
        <f>R7*R$50</f>
        <v>6515.8062600000003</v>
      </c>
      <c r="S54" s="482">
        <f>S7*S$50</f>
        <v>7425.9900000000007</v>
      </c>
      <c r="T54" s="482">
        <f>T7*T$50</f>
        <v>8472.8981100000001</v>
      </c>
      <c r="U54" s="482">
        <f>U7*U$50</f>
        <v>9657.4500000000007</v>
      </c>
      <c r="W54" s="482">
        <f>W7*W$50</f>
        <v>11308.8</v>
      </c>
      <c r="X54" s="482">
        <f>X7*X$50</f>
        <v>12393.160000000002</v>
      </c>
      <c r="Y54" s="482">
        <f>Y7*Y$50</f>
        <v>14423.339483047479</v>
      </c>
      <c r="Z54" s="482">
        <f>Z7*Z$50</f>
        <v>15496.116609119495</v>
      </c>
      <c r="AC54" s="507"/>
      <c r="AD54" s="256"/>
      <c r="AE54" s="256"/>
      <c r="AF54" s="256"/>
      <c r="AH54" s="256"/>
      <c r="AI54" s="256"/>
      <c r="AJ54" s="256"/>
      <c r="AK54" s="256"/>
      <c r="AL54" s="256"/>
      <c r="AM54" s="256"/>
      <c r="AN54" s="256"/>
      <c r="AO54" s="256"/>
      <c r="AP54" s="256"/>
    </row>
    <row r="55" spans="2:42" x14ac:dyDescent="0.6">
      <c r="B55" s="89" t="str">
        <f>B14</f>
        <v>Fee and commission income</v>
      </c>
      <c r="C55" s="89"/>
      <c r="D55" s="23"/>
      <c r="E55" s="23"/>
      <c r="F55" s="23"/>
      <c r="G55" s="23"/>
      <c r="H55" s="482">
        <f>H14*H$50</f>
        <v>644.7300715624998</v>
      </c>
      <c r="I55" s="482">
        <f>I14*I$50</f>
        <v>800.87360123076962</v>
      </c>
      <c r="J55" s="482">
        <f>J14*J$50</f>
        <v>972.51641500000017</v>
      </c>
      <c r="K55" s="482">
        <f>K14*K$50</f>
        <v>1096.9767260606059</v>
      </c>
      <c r="L55" s="481"/>
      <c r="M55" s="482">
        <f>M14*M$50</f>
        <v>1347.9391740553842</v>
      </c>
      <c r="N55" s="482">
        <f>N14*N$50</f>
        <v>1498.7022606276928</v>
      </c>
      <c r="O55" s="482">
        <f>O14*O$50</f>
        <v>1676.7620303030305</v>
      </c>
      <c r="P55" s="482">
        <f>P14*P$50</f>
        <v>1867.4472799999994</v>
      </c>
      <c r="Q55" s="23"/>
      <c r="R55" s="482">
        <f>R14*R$50</f>
        <v>1883.9700000000003</v>
      </c>
      <c r="S55" s="482">
        <f>S14*S$50</f>
        <v>1823.58</v>
      </c>
      <c r="T55" s="482">
        <f>T14*T$50</f>
        <v>1975.56</v>
      </c>
      <c r="U55" s="482">
        <f>U14*U$50</f>
        <v>2242.35</v>
      </c>
      <c r="W55" s="482">
        <f>W14*W$50</f>
        <v>2261.7599999999998</v>
      </c>
      <c r="X55" s="482">
        <f>X14*X$50</f>
        <v>2420.08</v>
      </c>
      <c r="Y55" s="482">
        <f>Y14*Y$50</f>
        <v>2750</v>
      </c>
      <c r="Z55" s="482">
        <f>Z14*Z$50</f>
        <v>2381.8283695327464</v>
      </c>
      <c r="AC55" s="507"/>
      <c r="AD55" s="256"/>
      <c r="AE55" s="256"/>
      <c r="AF55" s="256"/>
      <c r="AH55" s="256"/>
      <c r="AI55" s="256"/>
      <c r="AJ55" s="256"/>
      <c r="AK55" s="256"/>
      <c r="AL55" s="256"/>
      <c r="AM55" s="256"/>
      <c r="AN55" s="256"/>
      <c r="AO55" s="256"/>
      <c r="AP55" s="256"/>
    </row>
    <row r="56" spans="2:42" x14ac:dyDescent="0.6">
      <c r="B56" s="40" t="s">
        <v>385</v>
      </c>
      <c r="C56" s="40"/>
      <c r="D56" s="23"/>
      <c r="E56" s="23">
        <f t="shared" ref="E56:K56" si="22">E53-D53</f>
        <v>-92.034738923076475</v>
      </c>
      <c r="F56" s="23">
        <f t="shared" si="22"/>
        <v>-32.795548289044291</v>
      </c>
      <c r="G56" s="23">
        <f t="shared" si="22"/>
        <v>254.19385272727288</v>
      </c>
      <c r="H56" s="23">
        <f t="shared" si="22"/>
        <v>248.19401160984785</v>
      </c>
      <c r="I56" s="23">
        <f t="shared" si="22"/>
        <v>438.20233902884775</v>
      </c>
      <c r="J56" s="23">
        <f t="shared" si="22"/>
        <v>735.52928193706202</v>
      </c>
      <c r="K56" s="23">
        <f t="shared" si="22"/>
        <v>1036.2146915454541</v>
      </c>
      <c r="L56" s="23"/>
      <c r="M56" s="23">
        <f>M53-K53</f>
        <v>1034.4792284605592</v>
      </c>
      <c r="N56" s="23">
        <f>N53-M53</f>
        <v>1109.9676066046186</v>
      </c>
      <c r="O56" s="23">
        <f>O53-N53</f>
        <v>1160.1320432378543</v>
      </c>
      <c r="P56" s="23">
        <f>P53-O53</f>
        <v>771.85907606060391</v>
      </c>
      <c r="Q56" s="23"/>
      <c r="R56" s="23">
        <f>R53-Q53</f>
        <v>8399.7762600000005</v>
      </c>
      <c r="S56" s="23">
        <f>S53-R53</f>
        <v>849.79373999999916</v>
      </c>
      <c r="T56" s="23">
        <f>T53-S53</f>
        <v>1199.1766199999984</v>
      </c>
      <c r="U56" s="23">
        <f>U53-T53</f>
        <v>1480.2583800000029</v>
      </c>
      <c r="W56" s="23">
        <f>W53-U53</f>
        <v>1641.5549999999985</v>
      </c>
      <c r="X56" s="23">
        <f>X53-V53</f>
        <v>14813.240000000002</v>
      </c>
      <c r="Y56" s="23">
        <f>Y53-X53</f>
        <v>2360.0994830474774</v>
      </c>
      <c r="Z56" s="23">
        <f>Z53-Y53</f>
        <v>704.60549560476284</v>
      </c>
      <c r="AC56" s="507"/>
      <c r="AD56" s="256"/>
      <c r="AE56" s="256"/>
      <c r="AF56" s="256"/>
      <c r="AH56" s="256"/>
      <c r="AI56" s="256"/>
      <c r="AJ56" s="256"/>
      <c r="AK56" s="256"/>
      <c r="AL56" s="256"/>
      <c r="AM56" s="256"/>
      <c r="AN56" s="256"/>
      <c r="AO56" s="256"/>
      <c r="AP56" s="256"/>
    </row>
    <row r="57" spans="2:42" x14ac:dyDescent="0.6">
      <c r="B57" s="17"/>
      <c r="C57" s="17"/>
      <c r="Y57" s="1096"/>
      <c r="Z57" s="1096"/>
      <c r="AC57" s="507"/>
      <c r="AD57" s="256"/>
      <c r="AE57" s="256"/>
      <c r="AF57" s="256"/>
      <c r="AH57" s="256"/>
      <c r="AI57" s="256"/>
      <c r="AJ57" s="256"/>
      <c r="AK57" s="256"/>
      <c r="AL57" s="256"/>
      <c r="AM57" s="256"/>
      <c r="AN57" s="256"/>
      <c r="AO57" s="256"/>
      <c r="AP57" s="256"/>
    </row>
    <row r="58" spans="2:42" x14ac:dyDescent="0.6">
      <c r="B58" s="17"/>
      <c r="C58" s="17"/>
      <c r="Y58" s="1097"/>
      <c r="Z58" s="1097"/>
      <c r="AC58" s="507"/>
      <c r="AD58" s="256"/>
      <c r="AE58" s="256"/>
      <c r="AF58" s="256"/>
      <c r="AH58" s="256"/>
      <c r="AI58" s="256"/>
      <c r="AJ58" s="256"/>
      <c r="AK58" s="256"/>
      <c r="AL58" s="256"/>
      <c r="AM58" s="256"/>
      <c r="AN58" s="256"/>
      <c r="AO58" s="256"/>
      <c r="AP58" s="256"/>
    </row>
    <row r="59" spans="2:42" s="101" customFormat="1" ht="15.9" thickBot="1" x14ac:dyDescent="0.65">
      <c r="B59" s="65" t="s">
        <v>11</v>
      </c>
      <c r="C59" s="65"/>
      <c r="D59" s="54"/>
      <c r="E59" s="54">
        <f t="shared" ref="E59:K59" si="23">E6+E48</f>
        <v>95.300000000000011</v>
      </c>
      <c r="F59" s="54">
        <f t="shared" si="23"/>
        <v>67.300000000000026</v>
      </c>
      <c r="G59" s="54">
        <f t="shared" si="23"/>
        <v>76.500000000000028</v>
      </c>
      <c r="H59" s="54">
        <f t="shared" si="23"/>
        <v>115.69999999999999</v>
      </c>
      <c r="I59" s="54">
        <f t="shared" si="23"/>
        <v>166.40000000000003</v>
      </c>
      <c r="J59" s="54">
        <f t="shared" si="23"/>
        <v>223.89999999999998</v>
      </c>
      <c r="K59" s="121">
        <f t="shared" si="23"/>
        <v>226.88700000000006</v>
      </c>
      <c r="L59" s="54">
        <f>Master!F15</f>
        <v>731.85017000000016</v>
      </c>
      <c r="M59" s="54">
        <f>M6+M48</f>
        <v>294.09400000000005</v>
      </c>
      <c r="N59" s="54">
        <f>N6+N48</f>
        <v>363.53300000000013</v>
      </c>
      <c r="O59" s="54">
        <f>O6+O48</f>
        <v>427.00000000000011</v>
      </c>
      <c r="P59" s="54">
        <f>P6+P48</f>
        <v>579.47299999999973</v>
      </c>
      <c r="Q59" s="54">
        <f>Master!G15</f>
        <v>1663.1710000000003</v>
      </c>
      <c r="R59" s="54">
        <f>R6+R48</f>
        <v>652.33299999999997</v>
      </c>
      <c r="S59" s="54">
        <f>S6+S48</f>
        <v>782</v>
      </c>
      <c r="T59" s="54">
        <f>T6+T48</f>
        <v>915.10899999999992</v>
      </c>
      <c r="U59" s="54">
        <v>1143.2</v>
      </c>
      <c r="V59" s="54">
        <f>Master!H15</f>
        <v>3492</v>
      </c>
      <c r="W59" s="54">
        <f>W6+W48</f>
        <v>1182</v>
      </c>
      <c r="X59" s="54">
        <f>X6+X48</f>
        <v>1359.7000000000003</v>
      </c>
      <c r="Y59" s="54">
        <f>Y6+Y48</f>
        <v>1453.9885095989425</v>
      </c>
      <c r="Z59" s="54">
        <f>Z6+Z48</f>
        <v>1451.0358415310118</v>
      </c>
      <c r="AA59" s="54">
        <f>Master!I15</f>
        <v>5446.7243511299548</v>
      </c>
      <c r="AB59" s="508"/>
      <c r="AC59" s="508"/>
      <c r="AD59" s="255">
        <f>I59/E59-1</f>
        <v>0.74606505771248699</v>
      </c>
      <c r="AE59" s="255">
        <f>J59/F59-1</f>
        <v>2.3268945022288245</v>
      </c>
      <c r="AF59" s="255">
        <f>K59/G59-1</f>
        <v>1.9658431372549017</v>
      </c>
      <c r="AH59" s="255">
        <f>M59/H59-1</f>
        <v>1.5418668971477967</v>
      </c>
      <c r="AI59" s="255">
        <f>N59/I59-1</f>
        <v>1.1846935096153848</v>
      </c>
      <c r="AJ59" s="255">
        <f>O59/J59-1</f>
        <v>0.90710138454667333</v>
      </c>
      <c r="AK59" s="255">
        <f>P59/K59-1</f>
        <v>1.5540158757443114</v>
      </c>
      <c r="AL59" s="255"/>
      <c r="AM59" s="255">
        <f>R59/M59-1</f>
        <v>1.2181105360871007</v>
      </c>
      <c r="AN59" s="255">
        <f>S59/N59-1</f>
        <v>1.1511114534306368</v>
      </c>
      <c r="AO59" s="255">
        <f>T59/O59-1</f>
        <v>1.143112412177985</v>
      </c>
      <c r="AP59" s="255">
        <f>U59/P59-1</f>
        <v>0.97282703421902417</v>
      </c>
    </row>
    <row r="60" spans="2:42" x14ac:dyDescent="0.6">
      <c r="B60" s="40" t="s">
        <v>371</v>
      </c>
      <c r="C60" s="40"/>
      <c r="D60" s="23"/>
      <c r="E60" s="270">
        <f t="shared" ref="E60:K60" si="24">E59/E6</f>
        <v>0.58718422674060389</v>
      </c>
      <c r="F60" s="270">
        <f t="shared" si="24"/>
        <v>0.43113388853299178</v>
      </c>
      <c r="G60" s="270">
        <f t="shared" si="24"/>
        <v>0.37759131293188558</v>
      </c>
      <c r="H60" s="270">
        <f t="shared" si="24"/>
        <v>0.47224489795918362</v>
      </c>
      <c r="I60" s="270">
        <f t="shared" si="24"/>
        <v>0.49509074680154724</v>
      </c>
      <c r="J60" s="270">
        <f t="shared" si="24"/>
        <v>0.4655853607818673</v>
      </c>
      <c r="K60" s="270">
        <f t="shared" si="24"/>
        <v>0.3567742239833947</v>
      </c>
      <c r="L60" s="270"/>
      <c r="M60" s="270">
        <f>M59/M6</f>
        <v>0.33523887254393481</v>
      </c>
      <c r="N60" s="270">
        <f>N59/N6</f>
        <v>0.31405083619783325</v>
      </c>
      <c r="O60" s="270">
        <f>O59/O6</f>
        <v>0.32672737011247999</v>
      </c>
      <c r="P60" s="270">
        <f>P59/P6</f>
        <v>0.39956159947926995</v>
      </c>
      <c r="Q60" s="270"/>
      <c r="R60" s="270">
        <f t="shared" ref="R60:AA60" si="25">R59/R6</f>
        <v>0.40305933934483157</v>
      </c>
      <c r="S60" s="270">
        <f t="shared" si="25"/>
        <v>0.41849513004388317</v>
      </c>
      <c r="T60" s="270">
        <f t="shared" ref="T60" si="26">T59/T6</f>
        <v>0.42826983682756775</v>
      </c>
      <c r="U60" s="270">
        <f>U59/U6</f>
        <v>0.47437653014647913</v>
      </c>
      <c r="V60" s="270">
        <f t="shared" si="25"/>
        <v>0.4349775784753363</v>
      </c>
      <c r="W60" s="270">
        <f>W59/W6</f>
        <v>0.43201754385964913</v>
      </c>
      <c r="X60" s="270">
        <f>X59/X6</f>
        <v>0.47730543756801352</v>
      </c>
      <c r="Y60" s="270">
        <f t="shared" si="25"/>
        <v>0.46565997316295382</v>
      </c>
      <c r="Z60" s="270">
        <f t="shared" si="25"/>
        <v>0.44639902057815839</v>
      </c>
      <c r="AA60" s="270">
        <f t="shared" si="25"/>
        <v>0.45550082387519197</v>
      </c>
      <c r="AC60" s="253"/>
      <c r="AD60" s="256"/>
      <c r="AE60" s="256"/>
      <c r="AF60" s="256"/>
      <c r="AH60" s="256"/>
      <c r="AI60" s="256"/>
      <c r="AJ60" s="256"/>
      <c r="AK60" s="256"/>
      <c r="AL60" s="256"/>
      <c r="AM60" s="256"/>
      <c r="AN60" s="256"/>
      <c r="AO60" s="256"/>
      <c r="AP60" s="256"/>
    </row>
    <row r="61" spans="2:42" x14ac:dyDescent="0.6">
      <c r="B61" s="40" t="s">
        <v>1107</v>
      </c>
      <c r="C61" s="40"/>
      <c r="D61" s="23"/>
      <c r="E61" s="270"/>
      <c r="F61" s="270"/>
      <c r="G61" s="270"/>
      <c r="H61" s="500">
        <f>H59/AVERAGE(G218,H218)*4</f>
        <v>0.13848823987072834</v>
      </c>
      <c r="I61" s="500">
        <f>I59/AVERAGE(H218,I218)*4</f>
        <v>0.17066666666666669</v>
      </c>
      <c r="J61" s="500">
        <f>J59/AVERAGE(I218,J218)*4</f>
        <v>0.1978308409356983</v>
      </c>
      <c r="K61" s="500">
        <f>K59/AVERAGE(J218,K218)*4</f>
        <v>0.1676112732242456</v>
      </c>
      <c r="L61" s="270"/>
      <c r="M61" s="500">
        <f>M59/AVERAGE(L218,M218)*4</f>
        <v>0.16955170358690463</v>
      </c>
      <c r="N61" s="500">
        <f>N59/AVERAGE(M218,N218)*4</f>
        <v>0.1811438181251947</v>
      </c>
      <c r="O61" s="500">
        <f>O59/AVERAGE(N218,O218)*4</f>
        <v>0.20400054869936815</v>
      </c>
      <c r="P61" s="500">
        <f>P59/AVERAGE(O218,P218)*4</f>
        <v>0.2506228424603637</v>
      </c>
      <c r="Q61" s="270"/>
      <c r="R61" s="500">
        <f>R59/AVERAGE(Q218,R218)*4</f>
        <v>0.24751773856953138</v>
      </c>
      <c r="S61" s="500">
        <f>S59/AVERAGE(R218,S218)*4</f>
        <v>0.26067752823034296</v>
      </c>
      <c r="T61" s="500">
        <f>T59/AVERAGE(S218,T218)*4</f>
        <v>0.28150186272820177</v>
      </c>
      <c r="U61" s="500">
        <f>U59/AVERAGE(T218,U218)*4</f>
        <v>0.31753925961716273</v>
      </c>
      <c r="V61" s="270"/>
      <c r="W61" s="500"/>
      <c r="X61" s="500"/>
      <c r="Y61" s="270"/>
      <c r="Z61" s="270"/>
      <c r="AA61" s="270"/>
      <c r="AC61" s="253"/>
      <c r="AD61" s="256"/>
      <c r="AE61" s="256"/>
      <c r="AF61" s="256"/>
      <c r="AH61" s="256"/>
      <c r="AI61" s="256"/>
      <c r="AJ61" s="256"/>
      <c r="AK61" s="256"/>
      <c r="AL61" s="256"/>
      <c r="AM61" s="256"/>
      <c r="AN61" s="256"/>
      <c r="AO61" s="256"/>
      <c r="AP61" s="256"/>
    </row>
    <row r="62" spans="2:42" x14ac:dyDescent="0.6">
      <c r="B62" s="40"/>
      <c r="C62" s="40"/>
      <c r="Y62" s="1096"/>
      <c r="Z62" s="1096"/>
      <c r="AC62" s="253"/>
      <c r="AD62" s="257"/>
      <c r="AE62" s="257"/>
      <c r="AF62" s="257"/>
      <c r="AH62" s="257"/>
      <c r="AI62" s="257"/>
      <c r="AJ62" s="257"/>
      <c r="AK62" s="257"/>
      <c r="AL62" s="257"/>
      <c r="AM62" s="257"/>
      <c r="AN62" s="257"/>
      <c r="AO62" s="257"/>
      <c r="AP62" s="257"/>
    </row>
    <row r="63" spans="2:42" x14ac:dyDescent="0.6">
      <c r="B63" s="40" t="s">
        <v>703</v>
      </c>
      <c r="C63" s="40"/>
      <c r="E63" s="23">
        <f t="shared" ref="E63:K63" si="27">E7+E25</f>
        <v>66.600000000000009</v>
      </c>
      <c r="F63" s="23">
        <f t="shared" si="27"/>
        <v>46.2</v>
      </c>
      <c r="G63" s="23">
        <f t="shared" si="27"/>
        <v>58.300000000000004</v>
      </c>
      <c r="H63" s="23">
        <f t="shared" si="27"/>
        <v>95.6</v>
      </c>
      <c r="I63" s="23">
        <f t="shared" si="27"/>
        <v>127.7</v>
      </c>
      <c r="J63" s="23">
        <f t="shared" si="27"/>
        <v>193.6</v>
      </c>
      <c r="K63" s="23">
        <f t="shared" si="27"/>
        <v>262.54000000000002</v>
      </c>
      <c r="M63" s="23">
        <f>M7+M25</f>
        <v>346.44</v>
      </c>
      <c r="N63" s="23">
        <f>N7+N25</f>
        <v>445.51300000000003</v>
      </c>
      <c r="O63" s="23">
        <f>O7+O25</f>
        <v>527.4</v>
      </c>
      <c r="P63" s="23">
        <f>P7+P25</f>
        <v>688.64699999999982</v>
      </c>
      <c r="R63" s="23">
        <f>R7+R25</f>
        <v>815.33299999999997</v>
      </c>
      <c r="S63" s="23">
        <f>S7+S25</f>
        <v>1046.8000000000002</v>
      </c>
      <c r="T63" s="23">
        <f>T7+T25</f>
        <v>1195.0500000000002</v>
      </c>
      <c r="U63" s="23">
        <f>U7+U25</f>
        <v>1346.17</v>
      </c>
      <c r="W63" s="23">
        <f>W7+W25</f>
        <v>1620</v>
      </c>
      <c r="X63" s="23">
        <f>X7+X25</f>
        <v>1718.3000000000002</v>
      </c>
      <c r="Y63" s="23">
        <f>Y7+Y25</f>
        <v>1898.2676105540872</v>
      </c>
      <c r="Z63" s="23">
        <f>Z7+Z25</f>
        <v>2022.2130370244586</v>
      </c>
      <c r="AC63" s="253"/>
      <c r="AD63" s="257"/>
      <c r="AE63" s="257"/>
      <c r="AF63" s="257"/>
      <c r="AH63" s="257"/>
      <c r="AI63" s="257"/>
      <c r="AJ63" s="257"/>
      <c r="AK63" s="257"/>
      <c r="AL63" s="257"/>
      <c r="AM63" s="256">
        <f>R63/M63-1</f>
        <v>1.3534609167532619</v>
      </c>
      <c r="AN63" s="256">
        <f>S63/N63-1</f>
        <v>1.3496508519392254</v>
      </c>
      <c r="AO63" s="256">
        <f>T63/O63-1</f>
        <v>1.265927189988624</v>
      </c>
      <c r="AP63" s="256">
        <f>U63/P63-1</f>
        <v>0.95480413041805234</v>
      </c>
    </row>
    <row r="64" spans="2:42" x14ac:dyDescent="0.6">
      <c r="B64" s="40" t="s">
        <v>705</v>
      </c>
      <c r="C64" s="40"/>
      <c r="E64" s="23"/>
      <c r="F64" s="23"/>
      <c r="G64" s="23"/>
      <c r="H64" s="23"/>
      <c r="I64" s="23"/>
      <c r="J64" s="23"/>
      <c r="K64" s="23"/>
      <c r="M64" s="23"/>
      <c r="N64" s="23"/>
      <c r="O64" s="23"/>
      <c r="P64" s="23"/>
      <c r="Y64" s="23"/>
      <c r="Z64" s="23"/>
      <c r="AC64" s="253"/>
      <c r="AD64" s="257"/>
      <c r="AE64" s="257"/>
      <c r="AF64" s="257"/>
      <c r="AH64" s="257"/>
      <c r="AI64" s="257"/>
      <c r="AJ64" s="257"/>
      <c r="AK64" s="257"/>
      <c r="AL64" s="257"/>
      <c r="AM64" s="257"/>
      <c r="AN64" s="257"/>
      <c r="AO64" s="257"/>
      <c r="AP64" s="257"/>
    </row>
    <row r="65" spans="2:42" x14ac:dyDescent="0.6">
      <c r="B65" s="40" t="s">
        <v>873</v>
      </c>
      <c r="C65" s="40"/>
      <c r="E65" s="23"/>
      <c r="F65" s="500"/>
      <c r="G65" s="500">
        <f>G63/AVERAGE(F218,G218)*4</f>
        <v>7.5625891814761981E-2</v>
      </c>
      <c r="H65" s="500">
        <f>H63/AVERAGE(G218,H218)*4</f>
        <v>0.11442934945239092</v>
      </c>
      <c r="I65" s="500">
        <f>I63/AVERAGE(H218,I218)*4</f>
        <v>0.13097435897435897</v>
      </c>
      <c r="J65" s="500">
        <f>J63/AVERAGE(I218,J218)*4</f>
        <v>0.17105873517262704</v>
      </c>
      <c r="K65" s="500">
        <f>K63/AVERAGE(J218,K218)*4</f>
        <v>0.19394969157463154</v>
      </c>
      <c r="M65" s="500">
        <f>M63/AVERAGE(L218,M218)*4</f>
        <v>0.19973033176687463</v>
      </c>
      <c r="N65" s="500">
        <f>N63/AVERAGE(M218,N218)*4</f>
        <v>0.22199339769542201</v>
      </c>
      <c r="O65" s="500">
        <f>O63/AVERAGE(N218,O218)*4</f>
        <v>0.25196695406099939</v>
      </c>
      <c r="P65" s="500">
        <f>P63/AVERAGE(O218,P218)*4</f>
        <v>0.29784074252260612</v>
      </c>
      <c r="R65" s="500">
        <f>R63/AVERAGE(Q218,R218)*4</f>
        <v>0.30936558527793584</v>
      </c>
      <c r="S65" s="500">
        <f>S63/AVERAGE(R218,S218)*4</f>
        <v>0.34894787282803458</v>
      </c>
      <c r="T65" s="500">
        <f>T63/AVERAGE(S218,T218)*4</f>
        <v>0.36761609934263306</v>
      </c>
      <c r="U65" s="500">
        <f>U63/AVERAGE(T218,U218)*4</f>
        <v>0.37391692190241071</v>
      </c>
      <c r="W65" s="500">
        <f>W63/AVERAGE(V218,W218)*4</f>
        <v>0.401528037252879</v>
      </c>
      <c r="X65" s="500">
        <f>X63/AVERAGE(W218,X218)*4</f>
        <v>0.42043449138571742</v>
      </c>
      <c r="Y65" s="500">
        <f>Y63/AVERAGE(X218,Y218)*4</f>
        <v>0.45104551948693644</v>
      </c>
      <c r="Z65" s="500">
        <f>Z63/AVERAGE(Y218,Z218)*4</f>
        <v>0.44050311925002089</v>
      </c>
      <c r="AC65" s="253"/>
      <c r="AD65" s="257"/>
      <c r="AE65" s="257"/>
      <c r="AF65" s="257"/>
      <c r="AH65" s="257"/>
      <c r="AI65" s="257"/>
      <c r="AJ65" s="257"/>
      <c r="AK65" s="257"/>
      <c r="AL65" s="257"/>
      <c r="AM65" s="257"/>
      <c r="AN65" s="257"/>
      <c r="AO65" s="257"/>
      <c r="AP65" s="257"/>
    </row>
    <row r="66" spans="2:42" x14ac:dyDescent="0.6">
      <c r="B66" s="40"/>
      <c r="C66" s="40"/>
      <c r="AC66" s="253"/>
      <c r="AD66" s="257"/>
      <c r="AE66" s="257"/>
      <c r="AF66" s="257"/>
      <c r="AH66" s="257"/>
      <c r="AI66" s="257"/>
      <c r="AJ66" s="257"/>
      <c r="AK66" s="257"/>
      <c r="AL66" s="257"/>
      <c r="AM66" s="257"/>
      <c r="AN66" s="257"/>
      <c r="AO66" s="257"/>
      <c r="AP66" s="257"/>
    </row>
    <row r="67" spans="2:42" x14ac:dyDescent="0.6">
      <c r="B67" s="17" t="s">
        <v>92</v>
      </c>
      <c r="C67" s="17"/>
      <c r="AC67" s="238"/>
      <c r="AD67" s="258"/>
      <c r="AE67" s="258"/>
      <c r="AF67" s="258"/>
      <c r="AH67" s="258"/>
      <c r="AI67" s="258"/>
      <c r="AJ67" s="258"/>
      <c r="AK67" s="258"/>
      <c r="AL67" s="258"/>
      <c r="AM67" s="258"/>
      <c r="AN67" s="258"/>
      <c r="AO67" s="258"/>
      <c r="AP67" s="258"/>
    </row>
    <row r="68" spans="2:42" x14ac:dyDescent="0.6">
      <c r="B68" s="29" t="s">
        <v>93</v>
      </c>
      <c r="C68" s="29"/>
      <c r="D68" s="59"/>
      <c r="E68" s="59">
        <v>-26.4</v>
      </c>
      <c r="F68" s="59">
        <v>-28.9</v>
      </c>
      <c r="G68" s="59">
        <v>-28.5</v>
      </c>
      <c r="H68" s="59">
        <v>-32.1</v>
      </c>
      <c r="I68" s="59">
        <v>-40.1</v>
      </c>
      <c r="J68" s="59">
        <v>-51.6</v>
      </c>
      <c r="K68" s="406">
        <v>-65.8</v>
      </c>
      <c r="L68" s="43">
        <f>Master!F22</f>
        <v>-190.50899999999999</v>
      </c>
      <c r="M68" s="406">
        <v>-61.570999999999998</v>
      </c>
      <c r="N68" s="406">
        <v>-77.703000000000003</v>
      </c>
      <c r="O68" s="406">
        <v>-90.2</v>
      </c>
      <c r="P68" s="59">
        <f>-336-M68-N68-O68</f>
        <v>-106.52599999999997</v>
      </c>
      <c r="Q68" s="43">
        <f>Master!G22</f>
        <v>-335</v>
      </c>
      <c r="R68" s="59">
        <v>-108</v>
      </c>
      <c r="S68" s="59">
        <v>-113.3</v>
      </c>
      <c r="T68" s="59">
        <v>-127</v>
      </c>
      <c r="U68" s="59">
        <v>-140</v>
      </c>
      <c r="V68" s="43">
        <f>Master!H22</f>
        <v>-488</v>
      </c>
      <c r="W68" s="59">
        <v>-150.6</v>
      </c>
      <c r="X68" s="59">
        <v>-162</v>
      </c>
      <c r="Y68" s="1261">
        <v>-170</v>
      </c>
      <c r="Z68" s="43">
        <f>AA68-Y68-X68-W68</f>
        <v>-184.4849490423708</v>
      </c>
      <c r="AA68" s="43">
        <f>Master!I22</f>
        <v>-667.08494904237079</v>
      </c>
      <c r="AC68" s="238"/>
      <c r="AD68" s="256">
        <f>I68/E68-1</f>
        <v>0.51893939393939403</v>
      </c>
      <c r="AE68" s="256">
        <f>J68/F68-1</f>
        <v>0.7854671280276817</v>
      </c>
      <c r="AF68" s="256">
        <f>K68/G68-1</f>
        <v>1.3087719298245615</v>
      </c>
      <c r="AH68" s="256"/>
      <c r="AI68" s="256"/>
      <c r="AJ68" s="256"/>
      <c r="AK68" s="256"/>
      <c r="AL68" s="259"/>
      <c r="AM68" s="256"/>
      <c r="AN68" s="256"/>
      <c r="AO68" s="256"/>
      <c r="AP68" s="256"/>
    </row>
    <row r="69" spans="2:42" x14ac:dyDescent="0.6">
      <c r="B69" s="505" t="s">
        <v>968</v>
      </c>
      <c r="C69" s="505"/>
      <c r="D69" s="59"/>
      <c r="E69" s="267">
        <f>E68/E$6</f>
        <v>-0.16266173752310534</v>
      </c>
      <c r="F69" s="267">
        <f t="shared" ref="F69:V69" si="28">F68/F$6</f>
        <v>-0.18513773222293398</v>
      </c>
      <c r="G69" s="267">
        <f t="shared" si="28"/>
        <v>-0.14067127344521221</v>
      </c>
      <c r="H69" s="267">
        <f t="shared" si="28"/>
        <v>-0.13102040816326532</v>
      </c>
      <c r="I69" s="267">
        <f t="shared" si="28"/>
        <v>-0.11930972924724784</v>
      </c>
      <c r="J69" s="267">
        <f t="shared" si="28"/>
        <v>-0.10729881472239551</v>
      </c>
      <c r="K69" s="267">
        <f t="shared" si="28"/>
        <v>-0.10346888071201685</v>
      </c>
      <c r="L69" s="267">
        <f t="shared" si="28"/>
        <v>-0.11226512703625101</v>
      </c>
      <c r="M69" s="267">
        <f t="shared" si="28"/>
        <v>-7.0185017788199022E-2</v>
      </c>
      <c r="N69" s="267">
        <f>N68/N$6</f>
        <v>-6.7126484047061008E-2</v>
      </c>
      <c r="O69" s="267">
        <f>O68/O$6</f>
        <v>-6.9018287550692475E-2</v>
      </c>
      <c r="P69" s="267">
        <f>P68/P$6</f>
        <v>-7.345242823415192E-2</v>
      </c>
      <c r="Q69" s="267">
        <f t="shared" si="28"/>
        <v>-6.9934872888671409E-2</v>
      </c>
      <c r="R69" s="267">
        <f>R68/R$6</f>
        <v>-6.6730348839077289E-2</v>
      </c>
      <c r="S69" s="267">
        <f>S68/S$6</f>
        <v>-6.063362945520711E-2</v>
      </c>
      <c r="T69" s="267">
        <f>T68/T$6</f>
        <v>-5.9435836908063533E-2</v>
      </c>
      <c r="U69" s="267">
        <f>U68/U$6</f>
        <v>-5.8093696833893517E-2</v>
      </c>
      <c r="V69" s="267">
        <f t="shared" si="28"/>
        <v>-6.0787244643746886E-2</v>
      </c>
      <c r="W69" s="267">
        <f t="shared" ref="W69:AA69" si="29">W68/W$6</f>
        <v>-5.5043859649122805E-2</v>
      </c>
      <c r="X69" s="267">
        <f t="shared" si="29"/>
        <v>-5.6868045073191271E-2</v>
      </c>
      <c r="Y69" s="267">
        <f t="shared" si="29"/>
        <v>-5.4444856279873673E-2</v>
      </c>
      <c r="Z69" s="267">
        <f t="shared" si="29"/>
        <v>-5.6755249048178455E-2</v>
      </c>
      <c r="AA69" s="267">
        <f t="shared" si="29"/>
        <v>-5.5787244643746889E-2</v>
      </c>
      <c r="AC69" s="238"/>
      <c r="AD69" s="256"/>
      <c r="AE69" s="256"/>
      <c r="AF69" s="256"/>
      <c r="AH69" s="256"/>
      <c r="AI69" s="256"/>
      <c r="AJ69" s="256"/>
      <c r="AK69" s="256"/>
      <c r="AL69" s="256"/>
      <c r="AM69" s="256"/>
      <c r="AN69" s="256"/>
      <c r="AO69" s="256"/>
      <c r="AP69" s="256"/>
    </row>
    <row r="70" spans="2:42" x14ac:dyDescent="0.6">
      <c r="B70" s="505"/>
      <c r="C70" s="505"/>
      <c r="D70" s="59"/>
      <c r="E70" s="267"/>
      <c r="F70" s="267"/>
      <c r="G70" s="267"/>
      <c r="H70" s="267"/>
      <c r="I70" s="267"/>
      <c r="J70" s="267"/>
      <c r="K70" s="267"/>
      <c r="L70" s="267"/>
      <c r="M70" s="267"/>
      <c r="N70" s="267"/>
      <c r="O70" s="267"/>
      <c r="P70" s="267"/>
      <c r="Q70" s="267"/>
      <c r="R70" s="267"/>
      <c r="S70" s="267"/>
      <c r="T70" s="267"/>
      <c r="U70" s="267"/>
      <c r="V70" s="267"/>
      <c r="W70" s="267"/>
      <c r="X70" s="267"/>
      <c r="Y70" s="267"/>
      <c r="Z70" s="267"/>
      <c r="AA70" s="267"/>
      <c r="AC70" s="238"/>
      <c r="AD70" s="256"/>
      <c r="AE70" s="256"/>
      <c r="AF70" s="256"/>
      <c r="AH70" s="256"/>
      <c r="AI70" s="256"/>
      <c r="AJ70" s="256"/>
      <c r="AK70" s="256"/>
      <c r="AL70" s="256"/>
      <c r="AM70" s="256"/>
      <c r="AN70" s="256"/>
      <c r="AO70" s="256"/>
      <c r="AP70" s="256"/>
    </row>
    <row r="71" spans="2:42" x14ac:dyDescent="0.6">
      <c r="B71" s="29" t="s">
        <v>94</v>
      </c>
      <c r="C71" s="29"/>
      <c r="D71" s="59"/>
      <c r="E71" s="59">
        <v>-57</v>
      </c>
      <c r="F71" s="59">
        <v>-56.8</v>
      </c>
      <c r="G71" s="59">
        <v>-81.599999999999994</v>
      </c>
      <c r="H71" s="59">
        <v>-115.9</v>
      </c>
      <c r="I71" s="59">
        <v>-122.3</v>
      </c>
      <c r="J71" s="59">
        <v>-166.5</v>
      </c>
      <c r="K71" s="406">
        <v>-224.20099999999994</v>
      </c>
      <c r="L71" s="43">
        <f>Master!F26</f>
        <v>-628.90099999999995</v>
      </c>
      <c r="M71" s="406">
        <v>-245.108</v>
      </c>
      <c r="N71" s="406">
        <v>-229.505</v>
      </c>
      <c r="O71" s="406">
        <v>-261.8</v>
      </c>
      <c r="P71" s="406">
        <f>-1333-M71-N71-O71</f>
        <v>-596.58699999999999</v>
      </c>
      <c r="Q71" s="43">
        <f>Master!G26</f>
        <v>-1333</v>
      </c>
      <c r="R71" s="406">
        <v>-236</v>
      </c>
      <c r="S71" s="406">
        <v>-256.39999999999998</v>
      </c>
      <c r="T71" s="406">
        <v>-264</v>
      </c>
      <c r="U71" s="406">
        <v>-285</v>
      </c>
      <c r="V71" s="43">
        <f>Master!H26</f>
        <v>-1042</v>
      </c>
      <c r="W71" s="406">
        <v>-326</v>
      </c>
      <c r="X71" s="406">
        <v>-326</v>
      </c>
      <c r="Y71" s="1261">
        <v>-335</v>
      </c>
      <c r="Z71" s="43">
        <f>AA71-Y71-X71-W71</f>
        <v>-337.85757927660302</v>
      </c>
      <c r="AA71" s="43">
        <f>Master!I26</f>
        <v>-1324.857579276603</v>
      </c>
      <c r="AC71" s="238"/>
      <c r="AD71" s="256">
        <f>I71/E71-1</f>
        <v>1.1456140350877191</v>
      </c>
      <c r="AE71" s="256">
        <f>J71/F71-1</f>
        <v>1.931338028169014</v>
      </c>
      <c r="AF71" s="256">
        <f>K71/G71-1</f>
        <v>1.7475612745098035</v>
      </c>
      <c r="AH71" s="256"/>
      <c r="AI71" s="256"/>
      <c r="AJ71" s="256"/>
      <c r="AK71" s="256"/>
      <c r="AL71" s="259"/>
      <c r="AM71" s="256"/>
      <c r="AN71" s="256"/>
      <c r="AO71" s="256"/>
      <c r="AP71" s="256"/>
    </row>
    <row r="72" spans="2:42" x14ac:dyDescent="0.6">
      <c r="B72" s="29"/>
      <c r="C72" s="29"/>
      <c r="D72" s="59"/>
      <c r="E72" s="267">
        <f t="shared" ref="E72:V72" si="30">E71/E$6</f>
        <v>-0.35120147874306834</v>
      </c>
      <c r="F72" s="267">
        <f t="shared" si="30"/>
        <v>-0.3638693145419602</v>
      </c>
      <c r="G72" s="267">
        <f t="shared" si="30"/>
        <v>-0.40276406712734447</v>
      </c>
      <c r="H72" s="267">
        <f t="shared" si="30"/>
        <v>-0.47306122448979593</v>
      </c>
      <c r="I72" s="267">
        <f t="shared" si="30"/>
        <v>-0.3638797976792621</v>
      </c>
      <c r="J72" s="267">
        <f t="shared" si="30"/>
        <v>-0.34622582657517159</v>
      </c>
      <c r="K72" s="267">
        <f t="shared" si="30"/>
        <v>-0.35255055508381283</v>
      </c>
      <c r="L72" s="267">
        <f t="shared" si="30"/>
        <v>-0.3706053291877302</v>
      </c>
      <c r="M72" s="267">
        <f t="shared" si="30"/>
        <v>-0.2793995442664548</v>
      </c>
      <c r="N72" s="267">
        <f>N71/N$6</f>
        <v>-0.19826600930750082</v>
      </c>
      <c r="O72" s="267">
        <f>O71/O$6</f>
        <v>-0.20032137118371718</v>
      </c>
      <c r="P72" s="267">
        <f>P71/P$6</f>
        <v>-0.41136214448048369</v>
      </c>
      <c r="Q72" s="267">
        <f t="shared" si="30"/>
        <v>-0.27827816585253429</v>
      </c>
      <c r="R72" s="267">
        <f>R71/R$6</f>
        <v>-0.14581816968539113</v>
      </c>
      <c r="S72" s="267">
        <f>S71/S$6</f>
        <v>-0.13721502729316065</v>
      </c>
      <c r="T72" s="267">
        <f>T71/T$6</f>
        <v>-0.12355166097424229</v>
      </c>
      <c r="U72" s="267">
        <f>U71/U$6</f>
        <v>-0.11826216855471181</v>
      </c>
      <c r="V72" s="267">
        <f t="shared" si="30"/>
        <v>-0.12979571499750872</v>
      </c>
      <c r="W72" s="267">
        <f t="shared" ref="W72:AA72" si="31">W71/W$6</f>
        <v>-0.11915204678362573</v>
      </c>
      <c r="X72" s="267">
        <f t="shared" si="31"/>
        <v>-0.11443816477691578</v>
      </c>
      <c r="Y72" s="267">
        <f t="shared" si="31"/>
        <v>-0.10728839325739811</v>
      </c>
      <c r="Z72" s="267">
        <f t="shared" si="31"/>
        <v>-0.103939053858829</v>
      </c>
      <c r="AA72" s="267">
        <f t="shared" si="31"/>
        <v>-0.11079571499750872</v>
      </c>
      <c r="AC72" s="238"/>
      <c r="AD72" s="256"/>
      <c r="AE72" s="256"/>
      <c r="AF72" s="256"/>
      <c r="AH72" s="256"/>
      <c r="AI72" s="256"/>
      <c r="AJ72" s="256"/>
      <c r="AK72" s="256"/>
      <c r="AL72" s="256"/>
      <c r="AM72" s="256"/>
      <c r="AN72" s="256"/>
      <c r="AO72" s="256"/>
      <c r="AP72" s="256"/>
    </row>
    <row r="73" spans="2:42" x14ac:dyDescent="0.6">
      <c r="B73" s="897" t="s">
        <v>1249</v>
      </c>
      <c r="C73" s="29"/>
      <c r="D73" s="59"/>
      <c r="E73" s="267"/>
      <c r="F73" s="267"/>
      <c r="G73" s="267"/>
      <c r="H73" s="406">
        <v>-48.9</v>
      </c>
      <c r="I73" s="406">
        <v>-42.5</v>
      </c>
      <c r="J73" s="406">
        <v>-43.9</v>
      </c>
      <c r="K73" s="43">
        <f>-225-H73-I73-J73%</f>
        <v>-133.161</v>
      </c>
      <c r="L73" s="267"/>
      <c r="M73" s="406">
        <v>-77.7</v>
      </c>
      <c r="N73" s="406">
        <v>-59.8</v>
      </c>
      <c r="O73" s="406">
        <v>-79</v>
      </c>
      <c r="P73" s="406">
        <f>-286-356-M73-N73-O73</f>
        <v>-425.49999999999994</v>
      </c>
      <c r="Q73" s="267"/>
      <c r="R73" s="406">
        <v>-77.7</v>
      </c>
      <c r="S73" s="406">
        <v>-61</v>
      </c>
      <c r="T73" s="406"/>
      <c r="U73" s="406"/>
      <c r="V73" s="267"/>
      <c r="W73" s="406">
        <v>-105.5</v>
      </c>
      <c r="X73" s="406">
        <v>-111</v>
      </c>
      <c r="Y73" s="406">
        <v>-85</v>
      </c>
      <c r="Z73" s="211">
        <f>Master!I29-W73-X73-Y73</f>
        <v>-58.5</v>
      </c>
      <c r="AA73" s="267"/>
      <c r="AC73" s="238"/>
      <c r="AD73" s="256"/>
      <c r="AE73" s="256"/>
      <c r="AF73" s="256"/>
      <c r="AH73" s="256"/>
      <c r="AI73" s="256"/>
      <c r="AJ73" s="256"/>
      <c r="AK73" s="256"/>
      <c r="AL73" s="256"/>
      <c r="AM73" s="256"/>
      <c r="AN73" s="256"/>
      <c r="AO73" s="256"/>
      <c r="AP73" s="256"/>
    </row>
    <row r="74" spans="2:42" x14ac:dyDescent="0.6">
      <c r="B74" s="897" t="s">
        <v>1250</v>
      </c>
      <c r="C74" s="29"/>
      <c r="D74" s="59"/>
      <c r="E74" s="267"/>
      <c r="F74" s="267"/>
      <c r="G74" s="267"/>
      <c r="H74" s="43">
        <f>H71-H73</f>
        <v>-67</v>
      </c>
      <c r="I74" s="43">
        <f>I71-I73</f>
        <v>-79.8</v>
      </c>
      <c r="J74" s="43">
        <f>J71-J73</f>
        <v>-122.6</v>
      </c>
      <c r="K74" s="43">
        <f>K71-K73</f>
        <v>-91.039999999999935</v>
      </c>
      <c r="L74" s="267"/>
      <c r="M74" s="43">
        <f>M71-M73</f>
        <v>-167.40800000000002</v>
      </c>
      <c r="N74" s="43">
        <f>N71-N73</f>
        <v>-169.70499999999998</v>
      </c>
      <c r="O74" s="43">
        <f>O71-O73</f>
        <v>-182.8</v>
      </c>
      <c r="P74" s="43">
        <f>P71-P73</f>
        <v>-171.08700000000005</v>
      </c>
      <c r="Q74" s="267"/>
      <c r="R74" s="43">
        <f>R71-R73</f>
        <v>-158.30000000000001</v>
      </c>
      <c r="S74" s="43">
        <f>S71-S73</f>
        <v>-195.39999999999998</v>
      </c>
      <c r="V74" s="267"/>
      <c r="W74" s="43">
        <f t="shared" ref="W74:Z74" si="32">W71-W73</f>
        <v>-220.5</v>
      </c>
      <c r="X74" s="43">
        <f t="shared" si="32"/>
        <v>-215</v>
      </c>
      <c r="Y74" s="43">
        <f t="shared" si="32"/>
        <v>-250</v>
      </c>
      <c r="Z74" s="43">
        <f t="shared" si="32"/>
        <v>-279.35757927660302</v>
      </c>
      <c r="AA74" s="267"/>
      <c r="AC74" s="238"/>
      <c r="AD74" s="256"/>
      <c r="AE74" s="256"/>
      <c r="AF74" s="256"/>
      <c r="AH74" s="256"/>
      <c r="AI74" s="256"/>
      <c r="AJ74" s="256"/>
      <c r="AK74" s="256"/>
      <c r="AL74" s="256"/>
      <c r="AM74" s="256"/>
      <c r="AN74" s="256"/>
      <c r="AO74" s="256"/>
      <c r="AP74" s="256"/>
    </row>
    <row r="75" spans="2:42" x14ac:dyDescent="0.6">
      <c r="B75" s="897" t="s">
        <v>1251</v>
      </c>
      <c r="C75" s="29"/>
      <c r="D75" s="59"/>
      <c r="E75" s="267"/>
      <c r="F75" s="267"/>
      <c r="G75" s="267"/>
      <c r="H75" s="894">
        <f>-H74/H6</f>
        <v>0.27346938775510204</v>
      </c>
      <c r="I75" s="894">
        <f>-I74/I6</f>
        <v>0.23742933650699194</v>
      </c>
      <c r="J75" s="894">
        <f>-J74/J6</f>
        <v>0.25493865668538157</v>
      </c>
      <c r="K75" s="894">
        <f>-K74/K6</f>
        <v>0.14315815957480255</v>
      </c>
      <c r="L75" s="267"/>
      <c r="M75" s="894">
        <f>-M74/M6</f>
        <v>0.19082901784747403</v>
      </c>
      <c r="N75" s="894">
        <f>-N74/N6</f>
        <v>0.14660566484185281</v>
      </c>
      <c r="O75" s="894">
        <f>-O74/O6</f>
        <v>0.13987298186548319</v>
      </c>
      <c r="P75" s="894">
        <f>-P74/P6</f>
        <v>0.11796890514331108</v>
      </c>
      <c r="Q75" s="267"/>
      <c r="R75" s="894">
        <f>-R74/R6</f>
        <v>9.7809390937277182E-2</v>
      </c>
      <c r="S75" s="894">
        <f>-S74/S6</f>
        <v>0.10457026650968639</v>
      </c>
      <c r="T75" s="894"/>
      <c r="U75" s="894"/>
      <c r="V75" s="267"/>
      <c r="W75" s="894">
        <f>-W74/W6</f>
        <v>8.0592105263157895E-2</v>
      </c>
      <c r="X75" s="894">
        <f>-X74/X6</f>
        <v>7.547302278232175E-2</v>
      </c>
      <c r="Y75" s="894">
        <f>-Y74/Y6</f>
        <v>8.006596511746128E-2</v>
      </c>
      <c r="Z75" s="894">
        <f>-Z74/Z6</f>
        <v>8.594201894322788E-2</v>
      </c>
      <c r="AA75" s="267"/>
      <c r="AC75" s="238"/>
      <c r="AD75" s="256"/>
      <c r="AE75" s="256"/>
      <c r="AF75" s="256"/>
      <c r="AH75" s="256"/>
      <c r="AI75" s="256"/>
      <c r="AJ75" s="256"/>
      <c r="AK75" s="256"/>
      <c r="AL75" s="256"/>
      <c r="AM75" s="256"/>
      <c r="AN75" s="256"/>
      <c r="AO75" s="256"/>
      <c r="AP75" s="256"/>
    </row>
    <row r="76" spans="2:42" x14ac:dyDescent="0.6">
      <c r="B76" s="897"/>
      <c r="C76" s="29"/>
      <c r="D76" s="59"/>
      <c r="E76" s="267"/>
      <c r="F76" s="267"/>
      <c r="G76" s="267"/>
      <c r="H76" s="267"/>
      <c r="I76" s="267"/>
      <c r="J76" s="267"/>
      <c r="K76" s="267"/>
      <c r="L76" s="267"/>
      <c r="M76" s="267"/>
      <c r="N76" s="267"/>
      <c r="O76" s="267"/>
      <c r="P76" s="267"/>
      <c r="Q76" s="267"/>
      <c r="R76" s="267"/>
      <c r="S76" s="267"/>
      <c r="T76" s="267"/>
      <c r="U76" s="267"/>
      <c r="V76" s="267"/>
      <c r="W76" s="267"/>
      <c r="X76" s="267"/>
      <c r="Y76" s="267"/>
      <c r="Z76" s="267"/>
      <c r="AA76" s="267"/>
      <c r="AC76" s="238"/>
      <c r="AD76" s="256"/>
      <c r="AE76" s="256"/>
      <c r="AF76" s="256"/>
      <c r="AH76" s="256"/>
      <c r="AI76" s="256"/>
      <c r="AJ76" s="256"/>
      <c r="AK76" s="256"/>
      <c r="AL76" s="256"/>
      <c r="AM76" s="256"/>
      <c r="AN76" s="256"/>
      <c r="AO76" s="256"/>
      <c r="AP76" s="256"/>
    </row>
    <row r="77" spans="2:42" x14ac:dyDescent="0.6">
      <c r="B77" s="29" t="s">
        <v>95</v>
      </c>
      <c r="C77" s="29"/>
      <c r="D77" s="59"/>
      <c r="E77" s="59">
        <v>-1.3</v>
      </c>
      <c r="F77" s="59">
        <v>-4.0999999999999996</v>
      </c>
      <c r="G77" s="59">
        <v>-7.9</v>
      </c>
      <c r="H77" s="59">
        <v>-4.9000000000000004</v>
      </c>
      <c r="I77" s="59">
        <v>-14.7</v>
      </c>
      <c r="J77" s="59">
        <v>-25.6</v>
      </c>
      <c r="K77" s="406">
        <v>-34.5</v>
      </c>
      <c r="L77" s="43">
        <f>Master!F34</f>
        <v>-79.573999999999998</v>
      </c>
      <c r="M77" s="406">
        <v>-27.608000000000001</v>
      </c>
      <c r="N77" s="406">
        <v>-36.207999999999998</v>
      </c>
      <c r="O77" s="406">
        <v>-38.1</v>
      </c>
      <c r="P77" s="406">
        <f>-153-M77-N77-O77</f>
        <v>-51.083999999999996</v>
      </c>
      <c r="Q77" s="43">
        <f>Master!G34</f>
        <v>-153</v>
      </c>
      <c r="R77" s="406">
        <v>-19</v>
      </c>
      <c r="S77" s="406">
        <v>-33.9</v>
      </c>
      <c r="T77" s="406">
        <v>-46</v>
      </c>
      <c r="U77" s="406">
        <v>-71</v>
      </c>
      <c r="V77" s="43">
        <f>Master!H34</f>
        <v>-171</v>
      </c>
      <c r="W77" s="406">
        <v>-46.8</v>
      </c>
      <c r="X77" s="406">
        <v>-48</v>
      </c>
      <c r="Y77" s="1261">
        <v>-55</v>
      </c>
      <c r="Z77" s="43">
        <f>AA77-Y77-X77-W77</f>
        <v>-76.6829342254875</v>
      </c>
      <c r="AA77" s="43">
        <f>Master!I34</f>
        <v>-226.4829342254875</v>
      </c>
      <c r="AC77" s="238"/>
      <c r="AD77" s="256">
        <f>I77/E77-1</f>
        <v>10.307692307692307</v>
      </c>
      <c r="AE77" s="256">
        <f>J77/F77-1</f>
        <v>5.2439024390243913</v>
      </c>
      <c r="AF77" s="256">
        <f>K77/G77-1</f>
        <v>3.3670886075949369</v>
      </c>
      <c r="AH77" s="256"/>
      <c r="AI77" s="256"/>
      <c r="AJ77" s="256"/>
      <c r="AK77" s="256"/>
      <c r="AL77" s="259"/>
      <c r="AM77" s="256"/>
      <c r="AN77" s="256"/>
      <c r="AO77" s="256"/>
      <c r="AP77" s="256"/>
    </row>
    <row r="78" spans="2:42" x14ac:dyDescent="0.6">
      <c r="B78" s="29"/>
      <c r="C78" s="29"/>
      <c r="D78" s="59"/>
      <c r="E78" s="267">
        <f t="shared" ref="E78:V78" si="33">E77/E$6</f>
        <v>-8.0098582871226121E-3</v>
      </c>
      <c r="F78" s="267">
        <f t="shared" si="33"/>
        <v>-2.6265214606021776E-2</v>
      </c>
      <c r="G78" s="267">
        <f t="shared" si="33"/>
        <v>-3.8993089832181638E-2</v>
      </c>
      <c r="H78" s="267">
        <f t="shared" si="33"/>
        <v>-0.02</v>
      </c>
      <c r="I78" s="267">
        <f t="shared" si="33"/>
        <v>-4.3736983040761672E-2</v>
      </c>
      <c r="J78" s="267">
        <f t="shared" si="33"/>
        <v>-5.3233520482428784E-2</v>
      </c>
      <c r="K78" s="267">
        <f t="shared" si="33"/>
        <v>-5.425040098122464E-2</v>
      </c>
      <c r="L78" s="267">
        <f t="shared" si="33"/>
        <v>-4.6892195217982553E-2</v>
      </c>
      <c r="M78" s="267">
        <f t="shared" si="33"/>
        <v>-3.1470464522203617E-2</v>
      </c>
      <c r="N78" s="267">
        <f>N77/N$6</f>
        <v>-3.1279561077126816E-2</v>
      </c>
      <c r="O78" s="267">
        <f>O77/O$6</f>
        <v>-2.9152957380059682E-2</v>
      </c>
      <c r="P78" s="267">
        <f>P77/P$6</f>
        <v>-3.5223737340305816E-2</v>
      </c>
      <c r="Q78" s="267">
        <f t="shared" si="33"/>
        <v>-3.1940404632736494E-2</v>
      </c>
      <c r="R78" s="267">
        <f>R77/R$6</f>
        <v>-1.173959840687471E-2</v>
      </c>
      <c r="S78" s="267">
        <f>S77/S$6</f>
        <v>-1.8141924435406187E-2</v>
      </c>
      <c r="T78" s="267">
        <f>T77/T$6</f>
        <v>-2.1527940927330097E-2</v>
      </c>
      <c r="U78" s="267">
        <f>U77/U$6</f>
        <v>-2.9461803394331715E-2</v>
      </c>
      <c r="V78" s="267">
        <f t="shared" si="33"/>
        <v>-2.1300448430493273E-2</v>
      </c>
      <c r="W78" s="267">
        <f t="shared" ref="W78:AA78" si="34">W77/W$6</f>
        <v>-1.7105263157894735E-2</v>
      </c>
      <c r="X78" s="267">
        <f t="shared" si="34"/>
        <v>-1.6849791132797415E-2</v>
      </c>
      <c r="Y78" s="267">
        <f t="shared" si="34"/>
        <v>-1.7614512325841481E-2</v>
      </c>
      <c r="Z78" s="267">
        <f t="shared" si="34"/>
        <v>-2.3590862302339186E-2</v>
      </c>
      <c r="AA78" s="267">
        <f t="shared" si="34"/>
        <v>-1.8940404632736493E-2</v>
      </c>
      <c r="AC78" s="238"/>
      <c r="AD78" s="256"/>
      <c r="AE78" s="256"/>
      <c r="AF78" s="256"/>
      <c r="AH78" s="256"/>
      <c r="AI78" s="256"/>
      <c r="AJ78" s="256"/>
      <c r="AK78" s="256"/>
      <c r="AL78" s="256"/>
      <c r="AM78" s="256"/>
      <c r="AN78" s="256"/>
      <c r="AO78" s="256"/>
      <c r="AP78" s="256"/>
    </row>
    <row r="79" spans="2:42" x14ac:dyDescent="0.6">
      <c r="B79" s="29"/>
      <c r="C79" s="29"/>
      <c r="D79" s="59"/>
      <c r="E79" s="267"/>
      <c r="F79" s="267"/>
      <c r="G79" s="267"/>
      <c r="H79" s="267"/>
      <c r="I79" s="267"/>
      <c r="J79" s="267"/>
      <c r="K79" s="267"/>
      <c r="L79" s="267"/>
      <c r="M79" s="267"/>
      <c r="N79" s="267"/>
      <c r="O79" s="267"/>
      <c r="P79" s="267"/>
      <c r="Q79" s="267"/>
      <c r="R79" s="267"/>
      <c r="S79" s="267"/>
      <c r="T79" s="267"/>
      <c r="U79" s="267"/>
      <c r="V79" s="267"/>
      <c r="W79" s="267"/>
      <c r="X79" s="267"/>
      <c r="Y79" s="267"/>
      <c r="Z79" s="267"/>
      <c r="AA79" s="267"/>
      <c r="AC79" s="238"/>
      <c r="AD79" s="256"/>
      <c r="AE79" s="256"/>
      <c r="AF79" s="256"/>
      <c r="AH79" s="256"/>
      <c r="AI79" s="256"/>
      <c r="AJ79" s="256"/>
      <c r="AK79" s="256"/>
      <c r="AL79" s="256"/>
      <c r="AM79" s="256"/>
      <c r="AN79" s="256"/>
      <c r="AO79" s="256"/>
      <c r="AP79" s="256"/>
    </row>
    <row r="80" spans="2:42" x14ac:dyDescent="0.6">
      <c r="B80" s="29" t="s">
        <v>96</v>
      </c>
      <c r="C80" s="29"/>
      <c r="D80" s="59"/>
      <c r="E80" s="59">
        <v>-5.7</v>
      </c>
      <c r="F80" s="59">
        <v>-2.1</v>
      </c>
      <c r="G80" s="59">
        <v>16</v>
      </c>
      <c r="H80" s="59">
        <v>-16.2</v>
      </c>
      <c r="I80" s="59">
        <v>5</v>
      </c>
      <c r="J80" s="59">
        <v>-2</v>
      </c>
      <c r="K80" s="406">
        <v>9.102999999999998</v>
      </c>
      <c r="L80" s="43">
        <f>Master!F38</f>
        <v>-4.0970000000000004</v>
      </c>
      <c r="M80" s="406">
        <v>-27.457999999999998</v>
      </c>
      <c r="N80" s="406">
        <v>-44.728999999999999</v>
      </c>
      <c r="O80" s="406">
        <v>-31.8</v>
      </c>
      <c r="P80" s="406">
        <f>-150-M80-N80-O80</f>
        <v>-46.013000000000005</v>
      </c>
      <c r="Q80" s="43">
        <f>Master!G38</f>
        <v>-150</v>
      </c>
      <c r="R80" s="406">
        <v>-44</v>
      </c>
      <c r="S80" s="406">
        <v>-54.4</v>
      </c>
      <c r="T80" s="406">
        <v>-65</v>
      </c>
      <c r="U80" s="406">
        <v>-88</v>
      </c>
      <c r="V80" s="43">
        <f>Master!H38</f>
        <v>-250</v>
      </c>
      <c r="W80" s="406">
        <v>-79.5</v>
      </c>
      <c r="X80" s="406">
        <v>-96.7</v>
      </c>
      <c r="Y80" s="1261">
        <v>-100</v>
      </c>
      <c r="Z80" s="43">
        <f>AA80-Y80-X80-W80</f>
        <v>-98.800000000000011</v>
      </c>
      <c r="AA80" s="43">
        <f>Master!I38</f>
        <v>-375</v>
      </c>
      <c r="AC80" s="238"/>
      <c r="AD80" s="256">
        <f>I80/E80-1</f>
        <v>-1.8771929824561404</v>
      </c>
      <c r="AE80" s="256">
        <f>J80/F80-1</f>
        <v>-4.7619047619047672E-2</v>
      </c>
      <c r="AF80" s="256">
        <f>K80/G80-1</f>
        <v>-0.43106250000000013</v>
      </c>
      <c r="AH80" s="256"/>
      <c r="AI80" s="256"/>
      <c r="AJ80" s="256"/>
      <c r="AK80" s="256"/>
      <c r="AL80" s="259"/>
      <c r="AM80" s="256"/>
      <c r="AN80" s="256"/>
      <c r="AO80" s="256"/>
      <c r="AP80" s="256"/>
    </row>
    <row r="81" spans="2:42" x14ac:dyDescent="0.6">
      <c r="B81" s="1099"/>
      <c r="C81" s="1099"/>
      <c r="D81" s="1100"/>
      <c r="E81" s="267">
        <f t="shared" ref="E81:V81" si="35">E80/E$6</f>
        <v>-3.512014787430684E-2</v>
      </c>
      <c r="F81" s="267">
        <f t="shared" si="35"/>
        <v>-1.3452914798206277E-2</v>
      </c>
      <c r="G81" s="267">
        <f t="shared" si="35"/>
        <v>7.8973346495557734E-2</v>
      </c>
      <c r="H81" s="267">
        <f t="shared" si="35"/>
        <v>-6.6122448979591839E-2</v>
      </c>
      <c r="I81" s="267">
        <f t="shared" si="35"/>
        <v>1.4876524843796488E-2</v>
      </c>
      <c r="J81" s="267">
        <f t="shared" si="35"/>
        <v>-4.158868787689749E-3</v>
      </c>
      <c r="K81" s="267">
        <f t="shared" si="35"/>
        <v>1.4314243482089501E-2</v>
      </c>
      <c r="L81" s="267">
        <f t="shared" si="35"/>
        <v>-2.4143228165993233E-3</v>
      </c>
      <c r="M81" s="267">
        <f t="shared" si="35"/>
        <v>-3.1299478949966202E-2</v>
      </c>
      <c r="N81" s="267">
        <f>N80/N$6</f>
        <v>-3.8640728220802181E-2</v>
      </c>
      <c r="O81" s="267">
        <f>O80/O$6</f>
        <v>-2.4332389624301783E-2</v>
      </c>
      <c r="P81" s="267">
        <f>P80/P$6</f>
        <v>-3.1727151872200529E-2</v>
      </c>
      <c r="Q81" s="267">
        <f t="shared" si="35"/>
        <v>-3.1314122188957343E-2</v>
      </c>
      <c r="R81" s="267">
        <f>R80/R$6</f>
        <v>-2.7186438415920378E-2</v>
      </c>
      <c r="S81" s="267">
        <f>S80/S$6</f>
        <v>-2.9112704698704913E-2</v>
      </c>
      <c r="T81" s="267">
        <f>T80/T$6</f>
        <v>-3.0419916527749051E-2</v>
      </c>
      <c r="U81" s="267">
        <f>U80/U$6</f>
        <v>-3.6516038009875927E-2</v>
      </c>
      <c r="V81" s="267">
        <f t="shared" si="35"/>
        <v>-3.1141006477329349E-2</v>
      </c>
      <c r="W81" s="267">
        <f t="shared" ref="W81:AA81" si="36">W80/W$6</f>
        <v>-2.9057017543859649E-2</v>
      </c>
      <c r="X81" s="267">
        <f t="shared" si="36"/>
        <v>-3.3945308386281459E-2</v>
      </c>
      <c r="Y81" s="267">
        <f t="shared" si="36"/>
        <v>-3.202638604698451E-2</v>
      </c>
      <c r="Z81" s="267">
        <f t="shared" si="36"/>
        <v>-3.0394992301904109E-2</v>
      </c>
      <c r="AA81" s="267">
        <f t="shared" si="36"/>
        <v>-3.1360648702143494E-2</v>
      </c>
      <c r="AC81" s="238"/>
      <c r="AD81" s="256"/>
      <c r="AE81" s="256"/>
      <c r="AF81" s="256"/>
      <c r="AH81" s="256"/>
      <c r="AI81" s="256"/>
      <c r="AJ81" s="256"/>
      <c r="AK81" s="256"/>
      <c r="AL81" s="256"/>
      <c r="AM81" s="256"/>
      <c r="AN81" s="256"/>
      <c r="AO81" s="256"/>
      <c r="AP81" s="256"/>
    </row>
    <row r="82" spans="2:42" x14ac:dyDescent="0.6">
      <c r="B82" s="1099"/>
      <c r="C82" s="1099"/>
      <c r="D82" s="1100"/>
      <c r="E82" s="267"/>
      <c r="F82" s="267"/>
      <c r="G82" s="267"/>
      <c r="H82" s="267"/>
      <c r="I82" s="267"/>
      <c r="J82" s="267"/>
      <c r="K82" s="267"/>
      <c r="L82" s="267"/>
      <c r="M82" s="267"/>
      <c r="N82" s="267"/>
      <c r="O82" s="267"/>
      <c r="P82" s="267"/>
      <c r="Q82" s="267"/>
      <c r="R82" s="267"/>
      <c r="S82" s="267"/>
      <c r="T82" s="267"/>
      <c r="U82" s="267"/>
      <c r="V82" s="267"/>
      <c r="W82" s="267"/>
      <c r="X82" s="267"/>
      <c r="Y82" s="267"/>
      <c r="Z82" s="267"/>
      <c r="AA82" s="267"/>
      <c r="AC82" s="238"/>
      <c r="AD82" s="256"/>
      <c r="AE82" s="256"/>
      <c r="AF82" s="256"/>
      <c r="AH82" s="256"/>
      <c r="AI82" s="256"/>
      <c r="AJ82" s="256"/>
      <c r="AK82" s="256"/>
      <c r="AL82" s="256"/>
      <c r="AM82" s="256"/>
      <c r="AN82" s="256"/>
      <c r="AO82" s="256"/>
      <c r="AP82" s="256"/>
    </row>
    <row r="83" spans="2:42" s="101" customFormat="1" ht="15.9" thickBot="1" x14ac:dyDescent="0.65">
      <c r="B83" s="102" t="s">
        <v>97</v>
      </c>
      <c r="C83" s="102"/>
      <c r="D83" s="54"/>
      <c r="E83" s="54">
        <f t="shared" ref="E83:K83" si="37">E80+E77+E71+E68</f>
        <v>-90.4</v>
      </c>
      <c r="F83" s="54">
        <f t="shared" si="37"/>
        <v>-91.9</v>
      </c>
      <c r="G83" s="54">
        <f t="shared" si="37"/>
        <v>-102</v>
      </c>
      <c r="H83" s="54">
        <f t="shared" si="37"/>
        <v>-169.1</v>
      </c>
      <c r="I83" s="54">
        <f t="shared" si="37"/>
        <v>-172.1</v>
      </c>
      <c r="J83" s="54">
        <f t="shared" si="37"/>
        <v>-245.7</v>
      </c>
      <c r="K83" s="54">
        <f t="shared" si="37"/>
        <v>-315.39799999999991</v>
      </c>
      <c r="L83" s="54">
        <f>Master!F40</f>
        <v>-903.0809999999999</v>
      </c>
      <c r="M83" s="54">
        <f>M80+M77+M71+M68</f>
        <v>-361.745</v>
      </c>
      <c r="N83" s="54">
        <f>N80+N77+N71+N68</f>
        <v>-388.14499999999998</v>
      </c>
      <c r="O83" s="54">
        <f>O80+O77+O71+O68</f>
        <v>-421.90000000000003</v>
      </c>
      <c r="P83" s="54">
        <f>P80+P77+P71+P68</f>
        <v>-800.20999999999992</v>
      </c>
      <c r="Q83" s="54">
        <f>Master!G40</f>
        <v>-1971</v>
      </c>
      <c r="R83" s="54">
        <f>R80+R77+R71+R68</f>
        <v>-407</v>
      </c>
      <c r="S83" s="54">
        <f>S80+S77+S71+S68</f>
        <v>-458</v>
      </c>
      <c r="T83" s="54">
        <f>T80+T77+T71+T68</f>
        <v>-502</v>
      </c>
      <c r="U83" s="54">
        <f>U80+U77+U71+U68</f>
        <v>-584</v>
      </c>
      <c r="V83" s="54">
        <f>Master!H40</f>
        <v>-1951</v>
      </c>
      <c r="W83" s="54">
        <f>W80+W77+W71+W68</f>
        <v>-602.9</v>
      </c>
      <c r="X83" s="54">
        <f>X80+X77+X71+X68</f>
        <v>-632.70000000000005</v>
      </c>
      <c r="Y83" s="54">
        <f>Y80+Y77+Y71+Y68</f>
        <v>-660</v>
      </c>
      <c r="Z83" s="54">
        <f>Z80+Z77+Z71+Z68</f>
        <v>-697.82546254446129</v>
      </c>
      <c r="AA83" s="54">
        <f>Master!I40</f>
        <v>-2593.4254625444614</v>
      </c>
      <c r="AB83" s="509"/>
      <c r="AC83" s="509"/>
      <c r="AD83" s="255">
        <f>I83/E83-1</f>
        <v>0.90376106194690253</v>
      </c>
      <c r="AE83" s="255">
        <f>J83/F83-1</f>
        <v>1.6735582154515773</v>
      </c>
      <c r="AF83" s="255">
        <f>K83/G83-1</f>
        <v>2.0921372549019601</v>
      </c>
      <c r="AH83" s="255">
        <f>M83/H83-1</f>
        <v>1.1392371377882911</v>
      </c>
      <c r="AI83" s="255">
        <f>N83/I83-1</f>
        <v>1.2553457292271935</v>
      </c>
      <c r="AJ83" s="255">
        <f>O83/J83-1</f>
        <v>0.71713471713471733</v>
      </c>
      <c r="AK83" s="255">
        <f>P83/K83-1</f>
        <v>1.5371435456153817</v>
      </c>
      <c r="AL83" s="255"/>
      <c r="AM83" s="255">
        <f>R83/M83-1</f>
        <v>0.12510193644694456</v>
      </c>
      <c r="AN83" s="255">
        <f>S83/N83-1</f>
        <v>0.17997140243981002</v>
      </c>
      <c r="AO83" s="255">
        <f>T83/O83-1</f>
        <v>0.18985541597534961</v>
      </c>
      <c r="AP83" s="255">
        <f>U83/P83-1</f>
        <v>-0.27019157471163813</v>
      </c>
    </row>
    <row r="84" spans="2:42" x14ac:dyDescent="0.6">
      <c r="B84" s="1186" t="s">
        <v>1516</v>
      </c>
      <c r="C84" s="1099"/>
      <c r="D84" s="1100"/>
      <c r="E84" s="267">
        <f t="shared" ref="E84:Q84" si="38">E83/E$6</f>
        <v>-0.55699322242760319</v>
      </c>
      <c r="F84" s="267">
        <f t="shared" si="38"/>
        <v>-0.58872517616912234</v>
      </c>
      <c r="G84" s="267">
        <f t="shared" si="38"/>
        <v>-0.50345508390918059</v>
      </c>
      <c r="H84" s="267">
        <f t="shared" si="38"/>
        <v>-0.69020408163265301</v>
      </c>
      <c r="I84" s="267">
        <f t="shared" si="38"/>
        <v>-0.5120499851234751</v>
      </c>
      <c r="J84" s="267">
        <f t="shared" si="38"/>
        <v>-0.51091703056768556</v>
      </c>
      <c r="K84" s="267">
        <f t="shared" si="38"/>
        <v>-0.49595559329496475</v>
      </c>
      <c r="L84" s="267">
        <f t="shared" si="38"/>
        <v>-0.53217697425856314</v>
      </c>
      <c r="M84" s="267">
        <f t="shared" si="38"/>
        <v>-0.41235450552682362</v>
      </c>
      <c r="N84" s="267">
        <f t="shared" si="38"/>
        <v>-0.33531278265249082</v>
      </c>
      <c r="O84" s="267">
        <f t="shared" si="38"/>
        <v>-0.32282500573877115</v>
      </c>
      <c r="P84" s="267">
        <f t="shared" si="38"/>
        <v>-0.55176546192714193</v>
      </c>
      <c r="Q84" s="267">
        <f t="shared" si="38"/>
        <v>-0.41146756556289948</v>
      </c>
      <c r="R84" s="267">
        <f>R83/R$6</f>
        <v>-0.25147455534726348</v>
      </c>
      <c r="S84" s="267">
        <f t="shared" ref="S84:U84" si="39">S83/S$6</f>
        <v>-0.24510328588247887</v>
      </c>
      <c r="T84" s="267">
        <f t="shared" si="39"/>
        <v>-0.23493535533738497</v>
      </c>
      <c r="U84" s="267">
        <f t="shared" si="39"/>
        <v>-0.24233370679281296</v>
      </c>
      <c r="V84" s="267">
        <f>V83/V$6</f>
        <v>-0.24302441454907822</v>
      </c>
      <c r="W84" s="267">
        <f t="shared" ref="W84:X84" si="40">W83/W$6</f>
        <v>-0.22035818713450292</v>
      </c>
      <c r="X84" s="267">
        <f t="shared" si="40"/>
        <v>-0.22210130936918593</v>
      </c>
      <c r="Y84" s="267">
        <f t="shared" ref="Y84:AA84" si="41">Y83/Y$6</f>
        <v>-0.21137414791009779</v>
      </c>
      <c r="Z84" s="267">
        <f t="shared" si="41"/>
        <v>-0.21468015751125072</v>
      </c>
      <c r="AA84" s="267">
        <f t="shared" si="41"/>
        <v>-0.2168840129761356</v>
      </c>
      <c r="AB84" s="507"/>
      <c r="AC84" s="507"/>
      <c r="AD84" s="256"/>
      <c r="AE84" s="256"/>
      <c r="AF84" s="256"/>
      <c r="AH84" s="256"/>
      <c r="AI84" s="256"/>
      <c r="AJ84" s="256"/>
      <c r="AK84" s="256"/>
      <c r="AL84" s="256"/>
      <c r="AM84" s="256"/>
      <c r="AN84" s="256"/>
      <c r="AO84" s="256"/>
      <c r="AP84" s="256"/>
    </row>
    <row r="85" spans="2:42" x14ac:dyDescent="0.6">
      <c r="B85" s="1099"/>
      <c r="C85" s="1099"/>
      <c r="D85" s="1100"/>
      <c r="E85" s="1100"/>
      <c r="F85" s="1100"/>
      <c r="G85" s="1100"/>
      <c r="H85" s="1100"/>
      <c r="I85" s="1100"/>
      <c r="J85" s="1100"/>
      <c r="K85" s="1100"/>
      <c r="L85" s="1100"/>
      <c r="M85" s="1100"/>
      <c r="N85" s="1100"/>
      <c r="O85" s="1100"/>
      <c r="P85" s="1100"/>
      <c r="Q85" s="1100"/>
      <c r="R85" s="1100"/>
      <c r="S85" s="1100"/>
      <c r="T85" s="1100"/>
      <c r="U85" s="1100"/>
      <c r="V85" s="1100"/>
      <c r="W85" s="1100"/>
      <c r="X85" s="1100"/>
      <c r="Y85" s="1100"/>
      <c r="Z85" s="1100"/>
      <c r="AA85" s="1100"/>
      <c r="AB85" s="507"/>
      <c r="AC85" s="507"/>
      <c r="AD85" s="256"/>
      <c r="AE85" s="256"/>
      <c r="AF85" s="256"/>
      <c r="AH85" s="256"/>
      <c r="AI85" s="256"/>
      <c r="AJ85" s="256"/>
      <c r="AK85" s="256"/>
      <c r="AL85" s="256"/>
      <c r="AM85" s="256"/>
      <c r="AN85" s="256"/>
      <c r="AO85" s="256"/>
      <c r="AP85" s="256"/>
    </row>
    <row r="86" spans="2:42" x14ac:dyDescent="0.6">
      <c r="B86" s="1101" t="s">
        <v>98</v>
      </c>
      <c r="C86" s="1101"/>
      <c r="D86" s="59"/>
      <c r="E86" s="59">
        <v>0</v>
      </c>
      <c r="F86" s="59">
        <v>-13.2</v>
      </c>
      <c r="G86" s="59">
        <v>-88</v>
      </c>
      <c r="H86" s="59">
        <v>0</v>
      </c>
      <c r="I86" s="59">
        <v>0</v>
      </c>
      <c r="J86" s="59">
        <v>0</v>
      </c>
      <c r="K86" s="59">
        <v>0</v>
      </c>
      <c r="L86" s="1100">
        <f>Master!F51</f>
        <v>0</v>
      </c>
      <c r="M86" s="59">
        <v>0</v>
      </c>
      <c r="N86" s="59">
        <v>0</v>
      </c>
      <c r="O86" s="59">
        <v>0</v>
      </c>
      <c r="P86" s="59">
        <v>0</v>
      </c>
      <c r="Q86" s="1100">
        <f>Master!G51</f>
        <v>0</v>
      </c>
      <c r="R86" s="59">
        <v>0</v>
      </c>
      <c r="S86" s="59">
        <v>0</v>
      </c>
      <c r="T86" s="59">
        <v>0</v>
      </c>
      <c r="U86" s="59">
        <v>0</v>
      </c>
      <c r="V86" s="1100">
        <f>Master!H51</f>
        <v>0</v>
      </c>
      <c r="W86" s="59">
        <v>0</v>
      </c>
      <c r="X86" s="59">
        <v>0</v>
      </c>
      <c r="Y86" s="1261">
        <v>0</v>
      </c>
      <c r="Z86" s="1100">
        <f>AA86-Y86-X86-W86</f>
        <v>0</v>
      </c>
      <c r="AA86" s="1100">
        <f>Master!I51</f>
        <v>0</v>
      </c>
      <c r="AB86" s="238"/>
      <c r="AC86" s="238"/>
      <c r="AD86" s="256" t="e">
        <f>I86/E86-1</f>
        <v>#DIV/0!</v>
      </c>
      <c r="AE86" s="256">
        <f>J86/F86-1</f>
        <v>-1</v>
      </c>
      <c r="AF86" s="256">
        <f>K86/G86-1</f>
        <v>-1</v>
      </c>
      <c r="AH86" s="256"/>
      <c r="AI86" s="256"/>
      <c r="AJ86" s="256"/>
      <c r="AK86" s="256"/>
      <c r="AL86" s="259"/>
      <c r="AM86" s="256"/>
      <c r="AN86" s="256"/>
      <c r="AO86" s="256"/>
      <c r="AP86" s="256"/>
    </row>
    <row r="87" spans="2:42" x14ac:dyDescent="0.6">
      <c r="B87" s="1101"/>
      <c r="C87" s="1101"/>
      <c r="D87" s="59"/>
      <c r="E87" s="59"/>
      <c r="F87" s="59"/>
      <c r="G87" s="59"/>
      <c r="H87" s="59"/>
      <c r="I87" s="59"/>
      <c r="J87" s="59"/>
      <c r="K87" s="59"/>
      <c r="L87" s="1100"/>
      <c r="M87" s="59"/>
      <c r="N87" s="59"/>
      <c r="O87" s="59"/>
      <c r="P87" s="59"/>
      <c r="Q87" s="1100"/>
      <c r="R87" s="59"/>
      <c r="S87" s="59"/>
      <c r="T87" s="59"/>
      <c r="U87" s="59"/>
      <c r="V87" s="1100"/>
      <c r="W87" s="59"/>
      <c r="X87" s="59"/>
      <c r="Y87" s="1100"/>
      <c r="Z87" s="1100"/>
      <c r="AA87" s="1100"/>
      <c r="AB87" s="238"/>
      <c r="AC87" s="238"/>
      <c r="AD87" s="256"/>
      <c r="AE87" s="256"/>
      <c r="AF87" s="256"/>
      <c r="AH87" s="256"/>
      <c r="AI87" s="256"/>
      <c r="AJ87" s="256"/>
      <c r="AK87" s="256"/>
      <c r="AL87" s="259"/>
      <c r="AM87" s="256"/>
      <c r="AN87" s="256"/>
      <c r="AO87" s="256"/>
      <c r="AP87" s="256"/>
    </row>
    <row r="88" spans="2:42" x14ac:dyDescent="0.6">
      <c r="B88" s="40" t="s">
        <v>1480</v>
      </c>
      <c r="C88" s="1067"/>
      <c r="D88" s="1068"/>
      <c r="E88" s="1068"/>
      <c r="F88" s="1068"/>
      <c r="G88" s="1068"/>
      <c r="H88" s="1069">
        <f>-(H83+H36-H73)/H63</f>
        <v>1.5324267782426779</v>
      </c>
      <c r="I88" s="1069">
        <f>-(I83+I36-I73)/I63</f>
        <v>1.2482380579483163</v>
      </c>
      <c r="J88" s="1069">
        <f>-(J83+J36-J73)/J63</f>
        <v>1.1900826446280992</v>
      </c>
      <c r="K88" s="1069">
        <f>-(K83+K36-K73)/K63</f>
        <v>0.81761255427744295</v>
      </c>
      <c r="L88" s="270"/>
      <c r="M88" s="1069">
        <f>-(M83+M36-M73)/M63</f>
        <v>0.91933090867105416</v>
      </c>
      <c r="N88" s="1069">
        <f>-(N83+N36-N73)/N63</f>
        <v>0.84482607690460199</v>
      </c>
      <c r="O88" s="1069">
        <f>-(O83+O36-O73)/O63</f>
        <v>0.73454683352294281</v>
      </c>
      <c r="P88" s="1069">
        <f>-(P83+P36-P73)/P63</f>
        <v>0.61530217949108912</v>
      </c>
      <c r="Q88" s="270"/>
      <c r="R88" s="1069">
        <f>-(R83+R36-R73)/R63</f>
        <v>0.46766167933838076</v>
      </c>
      <c r="S88" s="1069">
        <f>-(S83+S36-S73)/S63</f>
        <v>0.42013756209400072</v>
      </c>
      <c r="T88" s="1069">
        <f>-(T83+T36-T73)/T63</f>
        <v>0.46776285511066473</v>
      </c>
      <c r="U88" s="1069">
        <f>-(U83+U36-U73)/U63</f>
        <v>0.48136565218360233</v>
      </c>
      <c r="V88" s="270"/>
      <c r="W88" s="1069">
        <f>-(W83+W36-W73)/W63</f>
        <v>0.34592592592592591</v>
      </c>
      <c r="X88" s="1069">
        <f>-(X83+X36-X73)/X63</f>
        <v>0.34086015247628471</v>
      </c>
      <c r="Y88" s="1069">
        <f>-(Y83+Y36-Y73)/Y63</f>
        <v>0.33978349333565794</v>
      </c>
      <c r="Z88" s="1069">
        <f>-(Z83+Z36-Z73)/Z63</f>
        <v>0.35163232039625153</v>
      </c>
      <c r="AA88" s="1100"/>
      <c r="AB88" s="238"/>
      <c r="AC88" s="238"/>
      <c r="AD88" s="256"/>
      <c r="AE88" s="256"/>
      <c r="AF88" s="256"/>
      <c r="AH88" s="256"/>
      <c r="AI88" s="256"/>
      <c r="AJ88" s="256"/>
      <c r="AK88" s="256"/>
      <c r="AL88" s="259"/>
      <c r="AM88" s="256"/>
      <c r="AN88" s="256"/>
      <c r="AO88" s="256"/>
      <c r="AP88" s="256"/>
    </row>
    <row r="89" spans="2:42" x14ac:dyDescent="0.6">
      <c r="B89" s="1102"/>
      <c r="C89" s="1102"/>
      <c r="D89" s="1100"/>
      <c r="E89" s="1100"/>
      <c r="F89" s="1100"/>
      <c r="G89" s="1100"/>
      <c r="H89" s="1100"/>
      <c r="I89" s="1100"/>
      <c r="J89" s="1100"/>
      <c r="K89" s="1100"/>
      <c r="L89" s="1100"/>
      <c r="M89" s="1100"/>
      <c r="N89" s="1100"/>
      <c r="O89" s="1100"/>
      <c r="P89" s="1100"/>
      <c r="Q89" s="1100"/>
      <c r="R89" s="1100"/>
      <c r="S89" s="1100"/>
      <c r="T89" s="1100"/>
      <c r="U89" s="1100"/>
      <c r="V89" s="1100"/>
      <c r="W89" s="1100"/>
      <c r="X89" s="1100"/>
      <c r="Y89" s="1100"/>
      <c r="Z89" s="1100"/>
      <c r="AA89" s="1100"/>
      <c r="AB89" s="238"/>
      <c r="AC89" s="238"/>
      <c r="AD89" s="258"/>
      <c r="AE89" s="258"/>
      <c r="AF89" s="258"/>
      <c r="AH89" s="258"/>
      <c r="AI89" s="258"/>
      <c r="AJ89" s="258"/>
      <c r="AK89" s="258"/>
      <c r="AL89" s="258"/>
      <c r="AM89" s="258"/>
      <c r="AN89" s="258"/>
      <c r="AO89" s="258"/>
      <c r="AP89" s="258"/>
    </row>
    <row r="90" spans="2:42" s="101" customFormat="1" ht="15.9" thickBot="1" x14ac:dyDescent="0.65">
      <c r="B90" s="65" t="s">
        <v>12</v>
      </c>
      <c r="C90" s="65"/>
      <c r="D90" s="53"/>
      <c r="E90" s="53">
        <f t="shared" ref="E90:K90" si="42">E59+E83+E86</f>
        <v>4.9000000000000057</v>
      </c>
      <c r="F90" s="53">
        <f t="shared" si="42"/>
        <v>-37.799999999999983</v>
      </c>
      <c r="G90" s="53">
        <f t="shared" si="42"/>
        <v>-113.49999999999997</v>
      </c>
      <c r="H90" s="53">
        <f t="shared" si="42"/>
        <v>-53.400000000000006</v>
      </c>
      <c r="I90" s="53">
        <f t="shared" si="42"/>
        <v>-5.6999999999999602</v>
      </c>
      <c r="J90" s="53">
        <f t="shared" si="42"/>
        <v>-21.800000000000011</v>
      </c>
      <c r="K90" s="53">
        <f t="shared" si="42"/>
        <v>-88.510999999999854</v>
      </c>
      <c r="L90" s="53">
        <f>Master!F53</f>
        <v>-171.23082999999974</v>
      </c>
      <c r="M90" s="53">
        <f>M59+M83+M86</f>
        <v>-67.650999999999954</v>
      </c>
      <c r="N90" s="53">
        <f>N59+N83+N86</f>
        <v>-24.611999999999853</v>
      </c>
      <c r="O90" s="53">
        <f>O59+O83+O86</f>
        <v>5.1000000000000796</v>
      </c>
      <c r="P90" s="53">
        <f>P59+P83+P86</f>
        <v>-220.73700000000019</v>
      </c>
      <c r="Q90" s="53">
        <f>Master!G53</f>
        <v>-307.82899999999972</v>
      </c>
      <c r="R90" s="53">
        <f>R59+R83+R86</f>
        <v>245.33299999999997</v>
      </c>
      <c r="S90" s="53">
        <f>S59+S83+S86</f>
        <v>324</v>
      </c>
      <c r="T90" s="53">
        <f>T59+T83+T86</f>
        <v>413.10899999999992</v>
      </c>
      <c r="U90" s="53">
        <f>U59+U83+U86</f>
        <v>559.20000000000005</v>
      </c>
      <c r="V90" s="53">
        <f>Master!H53</f>
        <v>1541</v>
      </c>
      <c r="W90" s="53">
        <f>W59+W83+W86</f>
        <v>579.1</v>
      </c>
      <c r="X90" s="53">
        <f>X59+X83+X86</f>
        <v>727.00000000000023</v>
      </c>
      <c r="Y90" s="53">
        <f>Y59+Y83+Y86</f>
        <v>793.98850959894253</v>
      </c>
      <c r="Z90" s="53">
        <f>Z59+Z83+Z86</f>
        <v>753.2103789865505</v>
      </c>
      <c r="AA90" s="53">
        <f>Master!I53</f>
        <v>2853.2988885854934</v>
      </c>
      <c r="AB90" s="510"/>
      <c r="AC90" s="510"/>
      <c r="AD90" s="255">
        <f>I90/E90-1</f>
        <v>-2.1632653061224394</v>
      </c>
      <c r="AE90" s="255">
        <f>J90/F90-1</f>
        <v>-0.4232804232804227</v>
      </c>
      <c r="AF90" s="255">
        <f>K90/G90-1</f>
        <v>-0.22016740088105835</v>
      </c>
      <c r="AH90" s="255">
        <f>M90/H90-1</f>
        <v>0.26687265917602887</v>
      </c>
      <c r="AI90" s="255">
        <f>N90/I90-1</f>
        <v>3.3178947368421099</v>
      </c>
      <c r="AJ90" s="255">
        <f>O90/J90-1</f>
        <v>-1.233944954128444</v>
      </c>
      <c r="AK90" s="255">
        <f>P90/K90-1</f>
        <v>1.4938934143778804</v>
      </c>
      <c r="AL90" s="255"/>
      <c r="AM90" s="255">
        <f>R90/M90-1</f>
        <v>-4.6264504589732613</v>
      </c>
      <c r="AN90" s="255">
        <f>S90/N90-1</f>
        <v>-14.164310092637816</v>
      </c>
      <c r="AO90" s="255">
        <f>T90/O90-1</f>
        <v>80.001764705881072</v>
      </c>
      <c r="AP90" s="255">
        <f>U90/P90-1</f>
        <v>-3.5333315212220859</v>
      </c>
    </row>
    <row r="91" spans="2:42" x14ac:dyDescent="0.6">
      <c r="B91" s="1102"/>
      <c r="C91" s="1102"/>
      <c r="D91" s="1100"/>
      <c r="E91" s="1100"/>
      <c r="F91" s="1100"/>
      <c r="G91" s="1100"/>
      <c r="H91" s="1100"/>
      <c r="I91" s="1100"/>
      <c r="J91" s="1100"/>
      <c r="K91" s="1100"/>
      <c r="L91" s="1100"/>
      <c r="M91" s="1100"/>
      <c r="N91" s="1100"/>
      <c r="O91" s="1100"/>
      <c r="P91" s="1100"/>
      <c r="Q91" s="1100"/>
      <c r="R91" s="1100"/>
      <c r="S91" s="1100"/>
      <c r="T91" s="1100"/>
      <c r="U91" s="1100"/>
      <c r="V91" s="1100"/>
      <c r="W91" s="1100"/>
      <c r="X91" s="1100"/>
      <c r="Y91" s="1100"/>
      <c r="Z91" s="1100"/>
      <c r="AA91" s="1100"/>
      <c r="AB91" s="238"/>
      <c r="AC91" s="238"/>
      <c r="AD91" s="258"/>
      <c r="AE91" s="258"/>
      <c r="AF91" s="258"/>
      <c r="AH91" s="258"/>
      <c r="AI91" s="258"/>
      <c r="AJ91" s="258"/>
      <c r="AK91" s="258"/>
      <c r="AL91" s="258"/>
      <c r="AM91" s="258"/>
      <c r="AN91" s="258"/>
      <c r="AO91" s="258"/>
      <c r="AP91" s="258"/>
    </row>
    <row r="92" spans="2:42" x14ac:dyDescent="0.6">
      <c r="B92" s="1102" t="s">
        <v>99</v>
      </c>
      <c r="C92" s="1102"/>
      <c r="D92" s="59"/>
      <c r="E92" s="59">
        <v>-2.6</v>
      </c>
      <c r="F92" s="59">
        <v>-0.2</v>
      </c>
      <c r="G92" s="59">
        <v>-13.2</v>
      </c>
      <c r="H92" s="59">
        <v>-31.5</v>
      </c>
      <c r="I92" s="59">
        <v>-52.2</v>
      </c>
      <c r="J92" s="59">
        <v>-66.400000000000006</v>
      </c>
      <c r="K92" s="59">
        <v>-69.724000000000004</v>
      </c>
      <c r="L92" s="1100">
        <f>Master!F55</f>
        <v>-219.82400000000001</v>
      </c>
      <c r="M92" s="59">
        <v>-99.052000000000007</v>
      </c>
      <c r="N92" s="59">
        <v>-96.248999999999995</v>
      </c>
      <c r="O92" s="59">
        <v>-106.819</v>
      </c>
      <c r="P92" s="59">
        <f>-473-M92-N92-O92</f>
        <v>-170.87999999999994</v>
      </c>
      <c r="Q92" s="1100">
        <f>Master!G55</f>
        <v>-473</v>
      </c>
      <c r="R92" s="59">
        <v>-206</v>
      </c>
      <c r="S92" s="59">
        <v>-263</v>
      </c>
      <c r="T92" s="59">
        <v>-307</v>
      </c>
      <c r="U92" s="59">
        <f>-1184-R92-S92-T92</f>
        <v>-408</v>
      </c>
      <c r="V92" s="1100">
        <f>Master!H55</f>
        <v>-1184</v>
      </c>
      <c r="W92" s="59">
        <v>-415</v>
      </c>
      <c r="X92" s="59">
        <v>-424</v>
      </c>
      <c r="Y92" s="1261">
        <v>-430</v>
      </c>
      <c r="Z92" s="1100">
        <f>AA92-Y92-X92-W92</f>
        <v>-442.97933315129603</v>
      </c>
      <c r="AA92" s="1100">
        <f>Master!I55</f>
        <v>-1711.979333151296</v>
      </c>
      <c r="AB92" s="507"/>
      <c r="AC92" s="507"/>
      <c r="AD92" s="256">
        <f>I92/E92-1</f>
        <v>19.076923076923077</v>
      </c>
      <c r="AE92" s="256">
        <f>J92/F92-1</f>
        <v>331</v>
      </c>
      <c r="AF92" s="256">
        <f>K92/G92-1</f>
        <v>4.2821212121212131</v>
      </c>
      <c r="AH92" s="256"/>
      <c r="AI92" s="256"/>
      <c r="AJ92" s="256"/>
      <c r="AK92" s="256"/>
      <c r="AL92" s="259"/>
      <c r="AM92" s="256"/>
      <c r="AN92" s="256"/>
      <c r="AO92" s="256"/>
      <c r="AP92" s="256"/>
    </row>
    <row r="93" spans="2:42" x14ac:dyDescent="0.6">
      <c r="B93" s="1103" t="s">
        <v>13</v>
      </c>
      <c r="C93" s="1103"/>
      <c r="D93" s="271"/>
      <c r="E93" s="271">
        <f>E92/E90</f>
        <v>-0.53061224489795855</v>
      </c>
      <c r="F93" s="271">
        <f t="shared" ref="F93:V93" si="43">F92/F90</f>
        <v>5.2910052910052933E-3</v>
      </c>
      <c r="G93" s="271">
        <f t="shared" si="43"/>
        <v>0.11629955947136567</v>
      </c>
      <c r="H93" s="271">
        <f t="shared" si="43"/>
        <v>0.58988764044943809</v>
      </c>
      <c r="I93" s="271">
        <f t="shared" si="43"/>
        <v>9.1578947368421701</v>
      </c>
      <c r="J93" s="271">
        <f t="shared" si="43"/>
        <v>3.0458715596330261</v>
      </c>
      <c r="K93" s="271">
        <f t="shared" si="43"/>
        <v>0.78774389623888685</v>
      </c>
      <c r="L93" s="271">
        <f t="shared" si="43"/>
        <v>1.28378750485529</v>
      </c>
      <c r="M93" s="271">
        <f>M92/M90</f>
        <v>1.4641616531906414</v>
      </c>
      <c r="N93" s="271">
        <f>N92/N90</f>
        <v>3.9106533398342505</v>
      </c>
      <c r="O93" s="271">
        <f>O92/O90</f>
        <v>-20.944901960783987</v>
      </c>
      <c r="P93" s="271">
        <f>P92/P90</f>
        <v>0.77413392408159842</v>
      </c>
      <c r="Q93" s="271">
        <f t="shared" si="43"/>
        <v>1.5365673799414623</v>
      </c>
      <c r="R93" s="271">
        <f>R92/R90</f>
        <v>-0.83967505390632335</v>
      </c>
      <c r="S93" s="271">
        <f>S92/S90</f>
        <v>-0.81172839506172845</v>
      </c>
      <c r="T93" s="271">
        <f>T92/T90</f>
        <v>-0.7431452715869179</v>
      </c>
      <c r="U93" s="271">
        <f>U92/U90</f>
        <v>-0.72961373390557938</v>
      </c>
      <c r="V93" s="271">
        <f t="shared" si="43"/>
        <v>-0.76833225178455544</v>
      </c>
      <c r="W93" s="271">
        <f t="shared" ref="W93:AA93" si="44">W92/W90</f>
        <v>-0.71662925228803309</v>
      </c>
      <c r="X93" s="271">
        <f t="shared" si="44"/>
        <v>-0.58321870701513046</v>
      </c>
      <c r="Y93" s="271">
        <f t="shared" si="44"/>
        <v>-0.54156955019059472</v>
      </c>
      <c r="Z93" s="271">
        <f t="shared" si="44"/>
        <v>-0.5881216530065978</v>
      </c>
      <c r="AA93" s="271">
        <f t="shared" si="44"/>
        <v>-0.6</v>
      </c>
      <c r="AB93" s="238"/>
      <c r="AC93" s="238"/>
      <c r="AD93" s="258"/>
      <c r="AE93" s="258"/>
      <c r="AF93" s="258"/>
      <c r="AH93" s="258"/>
      <c r="AI93" s="258"/>
      <c r="AJ93" s="258"/>
      <c r="AK93" s="258"/>
      <c r="AL93" s="258"/>
      <c r="AM93" s="258"/>
      <c r="AN93" s="258"/>
      <c r="AO93" s="258"/>
      <c r="AP93" s="258"/>
    </row>
    <row r="94" spans="2:42" x14ac:dyDescent="0.6">
      <c r="B94" s="1102" t="s">
        <v>25</v>
      </c>
      <c r="C94" s="1102"/>
      <c r="D94" s="59"/>
      <c r="E94" s="59">
        <v>0.7</v>
      </c>
      <c r="F94" s="59">
        <v>5.5</v>
      </c>
      <c r="G94" s="59">
        <v>19.899999999999999</v>
      </c>
      <c r="H94" s="59">
        <v>35.4</v>
      </c>
      <c r="I94" s="59">
        <v>43.6</v>
      </c>
      <c r="J94" s="59">
        <v>53.8</v>
      </c>
      <c r="K94" s="59">
        <v>91.76400000000001</v>
      </c>
      <c r="L94" s="1100">
        <f>Master!F57</f>
        <v>224.654</v>
      </c>
      <c r="M94" s="59">
        <v>121.699</v>
      </c>
      <c r="N94" s="59">
        <v>91.010999999999996</v>
      </c>
      <c r="O94" s="59">
        <v>109.545</v>
      </c>
      <c r="P94" s="59">
        <f>417-M94-N94-O94</f>
        <v>94.74499999999999</v>
      </c>
      <c r="Q94" s="1100">
        <f>Master!G57</f>
        <v>417</v>
      </c>
      <c r="R94" s="59">
        <v>104</v>
      </c>
      <c r="S94" s="59">
        <v>163</v>
      </c>
      <c r="T94" s="59">
        <v>199</v>
      </c>
      <c r="U94" s="59">
        <f>676-R94-S94-T94</f>
        <v>210</v>
      </c>
      <c r="V94" s="1100">
        <f>Master!H57</f>
        <v>676</v>
      </c>
      <c r="W94" s="59">
        <v>215</v>
      </c>
      <c r="X94" s="59">
        <v>186</v>
      </c>
      <c r="Y94" s="1261">
        <v>180</v>
      </c>
      <c r="Z94" s="1100">
        <f>AA94-Y94-X94-W94</f>
        <v>219</v>
      </c>
      <c r="AA94" s="1100">
        <f>Master!I57</f>
        <v>800</v>
      </c>
      <c r="AB94" s="507"/>
      <c r="AC94" s="507"/>
      <c r="AD94" s="256">
        <f>I94/E94-1</f>
        <v>61.285714285714292</v>
      </c>
      <c r="AE94" s="256">
        <f>J94/F94-1</f>
        <v>8.7818181818181813</v>
      </c>
      <c r="AF94" s="256">
        <f>K94/G94-1</f>
        <v>3.6112562814070364</v>
      </c>
      <c r="AH94" s="256"/>
      <c r="AI94" s="256"/>
      <c r="AJ94" s="256"/>
      <c r="AK94" s="256"/>
      <c r="AL94" s="259"/>
      <c r="AM94" s="256"/>
      <c r="AN94" s="256"/>
      <c r="AO94" s="256"/>
      <c r="AP94" s="256"/>
    </row>
    <row r="95" spans="2:42" x14ac:dyDescent="0.6">
      <c r="B95" s="1102"/>
      <c r="C95" s="1102"/>
      <c r="D95" s="1100"/>
      <c r="E95" s="1100"/>
      <c r="F95" s="1100"/>
      <c r="G95" s="1100"/>
      <c r="H95" s="1100"/>
      <c r="I95" s="1100"/>
      <c r="J95" s="1100"/>
      <c r="K95" s="1100"/>
      <c r="L95" s="1100"/>
      <c r="M95" s="1100"/>
      <c r="N95" s="1100"/>
      <c r="O95" s="1100"/>
      <c r="P95" s="1100"/>
      <c r="Q95" s="1100"/>
      <c r="R95" s="1100"/>
      <c r="S95" s="1100"/>
      <c r="T95" s="1100"/>
      <c r="U95" s="1100"/>
      <c r="V95" s="1100"/>
      <c r="W95" s="1100"/>
      <c r="X95" s="1100"/>
      <c r="Y95" s="1100"/>
      <c r="Z95" s="1100"/>
      <c r="AA95" s="1100"/>
      <c r="AB95" s="238"/>
      <c r="AC95" s="238"/>
      <c r="AD95" s="258"/>
      <c r="AE95" s="258"/>
      <c r="AF95" s="258"/>
      <c r="AH95" s="258"/>
      <c r="AI95" s="258"/>
      <c r="AJ95" s="258"/>
      <c r="AK95" s="258"/>
      <c r="AL95" s="258"/>
      <c r="AM95" s="258"/>
      <c r="AN95" s="258"/>
      <c r="AO95" s="258"/>
      <c r="AP95" s="258"/>
    </row>
    <row r="96" spans="2:42" x14ac:dyDescent="0.6">
      <c r="B96" s="1108" t="s">
        <v>1695</v>
      </c>
      <c r="C96" s="1102"/>
      <c r="D96" s="1100"/>
      <c r="E96" s="1100">
        <f t="shared" ref="E96:K96" si="45">E92+E94</f>
        <v>-1.9000000000000001</v>
      </c>
      <c r="F96" s="1100">
        <f t="shared" si="45"/>
        <v>5.3</v>
      </c>
      <c r="G96" s="1100">
        <f t="shared" si="45"/>
        <v>6.6999999999999993</v>
      </c>
      <c r="H96" s="1100">
        <f t="shared" si="45"/>
        <v>3.8999999999999986</v>
      </c>
      <c r="I96" s="1100">
        <f t="shared" si="45"/>
        <v>-8.6000000000000014</v>
      </c>
      <c r="J96" s="1100">
        <f t="shared" si="45"/>
        <v>-12.600000000000009</v>
      </c>
      <c r="K96" s="1100">
        <f t="shared" si="45"/>
        <v>22.040000000000006</v>
      </c>
      <c r="L96" s="1100"/>
      <c r="M96" s="1100">
        <f t="shared" ref="M96:P96" si="46">M92+M94</f>
        <v>22.646999999999991</v>
      </c>
      <c r="N96" s="1100">
        <f t="shared" si="46"/>
        <v>-5.2379999999999995</v>
      </c>
      <c r="O96" s="1100">
        <f t="shared" si="46"/>
        <v>2.7259999999999991</v>
      </c>
      <c r="P96" s="1100">
        <f t="shared" si="46"/>
        <v>-76.134999999999948</v>
      </c>
      <c r="Q96" s="1100"/>
      <c r="R96" s="1100">
        <f>R92+R94</f>
        <v>-102</v>
      </c>
      <c r="S96" s="1100">
        <f>S92+S94</f>
        <v>-100</v>
      </c>
      <c r="T96" s="1100">
        <f>T92+T94</f>
        <v>-108</v>
      </c>
      <c r="U96" s="1100">
        <f>U92+U94</f>
        <v>-198</v>
      </c>
      <c r="V96" s="1100"/>
      <c r="W96" s="1100">
        <f t="shared" ref="W96:Y96" si="47">W92+W94</f>
        <v>-200</v>
      </c>
      <c r="X96" s="1100">
        <f t="shared" ref="X96" si="48">X92+X94</f>
        <v>-238</v>
      </c>
      <c r="Y96" s="1100">
        <f t="shared" si="47"/>
        <v>-250</v>
      </c>
      <c r="Z96" s="1100">
        <f>Z92+Z94</f>
        <v>-223.97933315129603</v>
      </c>
      <c r="AA96" s="1100"/>
      <c r="AB96" s="238"/>
      <c r="AC96" s="238"/>
      <c r="AD96" s="258"/>
      <c r="AE96" s="258"/>
      <c r="AF96" s="258"/>
      <c r="AH96" s="258"/>
      <c r="AI96" s="258"/>
      <c r="AJ96" s="258"/>
      <c r="AK96" s="258"/>
      <c r="AL96" s="258"/>
      <c r="AM96" s="258"/>
      <c r="AN96" s="258"/>
      <c r="AO96" s="258"/>
      <c r="AP96" s="258"/>
    </row>
    <row r="97" spans="2:42" x14ac:dyDescent="0.6">
      <c r="B97" s="1102"/>
      <c r="C97" s="1102"/>
      <c r="D97" s="1100"/>
      <c r="E97" s="1100"/>
      <c r="F97" s="1100"/>
      <c r="G97" s="1100"/>
      <c r="H97" s="1100"/>
      <c r="I97" s="1100"/>
      <c r="J97" s="1100"/>
      <c r="K97" s="1100"/>
      <c r="L97" s="1100"/>
      <c r="M97" s="1100"/>
      <c r="N97" s="1100"/>
      <c r="O97" s="1100"/>
      <c r="P97" s="1100"/>
      <c r="Q97" s="1100"/>
      <c r="R97" s="1145">
        <f>R96/R90</f>
        <v>-0.4157614344584708</v>
      </c>
      <c r="S97" s="1145">
        <f t="shared" ref="S97:T97" si="49">S96/S90</f>
        <v>-0.30864197530864196</v>
      </c>
      <c r="T97" s="1145">
        <f t="shared" si="49"/>
        <v>-0.2614322128058213</v>
      </c>
      <c r="U97" s="1145">
        <f t="shared" ref="U97" si="50">U96/U90</f>
        <v>-0.35407725321888411</v>
      </c>
      <c r="V97" s="1100"/>
      <c r="W97" s="1145">
        <f>W96/W90</f>
        <v>-0.34536349507857017</v>
      </c>
      <c r="X97" s="1145">
        <f>X96/X90</f>
        <v>-0.32737276478679495</v>
      </c>
      <c r="Y97" s="1145">
        <f t="shared" ref="Y97" si="51">Y96/Y90</f>
        <v>-0.31486601755267135</v>
      </c>
      <c r="Z97" s="1145">
        <f t="shared" ref="Z97" si="52">Z96/Z90</f>
        <v>-0.29736623312687444</v>
      </c>
      <c r="AA97" s="1100"/>
      <c r="AB97" s="238"/>
      <c r="AC97" s="238"/>
      <c r="AD97" s="258"/>
      <c r="AE97" s="258"/>
      <c r="AF97" s="258"/>
      <c r="AH97" s="258"/>
      <c r="AI97" s="258"/>
      <c r="AJ97" s="258"/>
      <c r="AK97" s="258"/>
      <c r="AL97" s="258"/>
      <c r="AM97" s="258"/>
      <c r="AN97" s="258"/>
      <c r="AO97" s="258"/>
      <c r="AP97" s="258"/>
    </row>
    <row r="98" spans="2:42" x14ac:dyDescent="0.6">
      <c r="B98" s="1102"/>
      <c r="C98" s="1102"/>
      <c r="D98" s="1100"/>
      <c r="E98" s="1100"/>
      <c r="F98" s="1100"/>
      <c r="G98" s="1100"/>
      <c r="H98" s="1100"/>
      <c r="I98" s="1100"/>
      <c r="J98" s="1100"/>
      <c r="K98" s="1100"/>
      <c r="L98" s="1100"/>
      <c r="M98" s="1100"/>
      <c r="N98" s="1100"/>
      <c r="O98" s="1100"/>
      <c r="P98" s="1100"/>
      <c r="Q98" s="1100"/>
      <c r="R98" s="1145"/>
      <c r="S98" s="1145"/>
      <c r="T98" s="1145"/>
      <c r="U98" s="1145"/>
      <c r="V98" s="1100"/>
      <c r="W98" s="1145"/>
      <c r="X98" s="1145"/>
      <c r="Y98" s="1100"/>
      <c r="Z98" s="1100"/>
      <c r="AA98" s="1100"/>
      <c r="AB98" s="238"/>
      <c r="AC98" s="238"/>
      <c r="AD98" s="258"/>
      <c r="AE98" s="258"/>
      <c r="AF98" s="258"/>
      <c r="AH98" s="258"/>
      <c r="AI98" s="258"/>
      <c r="AJ98" s="258"/>
      <c r="AK98" s="258"/>
      <c r="AL98" s="258"/>
      <c r="AM98" s="258"/>
      <c r="AN98" s="258"/>
      <c r="AO98" s="258"/>
      <c r="AP98" s="258"/>
    </row>
    <row r="99" spans="2:42" s="101" customFormat="1" ht="15.9" thickBot="1" x14ac:dyDescent="0.65">
      <c r="B99" s="71" t="s">
        <v>14</v>
      </c>
      <c r="C99" s="71"/>
      <c r="D99" s="53"/>
      <c r="E99" s="53">
        <f>E90+E92+E94</f>
        <v>3.0000000000000053</v>
      </c>
      <c r="F99" s="53">
        <f t="shared" ref="F99:K99" si="53">F90+F92+F94</f>
        <v>-32.499999999999986</v>
      </c>
      <c r="G99" s="53">
        <f t="shared" si="53"/>
        <v>-106.79999999999998</v>
      </c>
      <c r="H99" s="53">
        <f t="shared" si="53"/>
        <v>-49.500000000000007</v>
      </c>
      <c r="I99" s="53">
        <f t="shared" si="53"/>
        <v>-14.299999999999962</v>
      </c>
      <c r="J99" s="53">
        <f t="shared" si="53"/>
        <v>-34.40000000000002</v>
      </c>
      <c r="K99" s="53">
        <f t="shared" si="53"/>
        <v>-66.470999999999833</v>
      </c>
      <c r="L99" s="53">
        <f>Master!F62</f>
        <v>-166.40082999999976</v>
      </c>
      <c r="M99" s="53">
        <f>M90+M92+M94</f>
        <v>-45.003999999999976</v>
      </c>
      <c r="N99" s="53">
        <f>N90+N92+N94</f>
        <v>-29.849999999999852</v>
      </c>
      <c r="O99" s="53">
        <f>O90+O92+O94</f>
        <v>7.8260000000000787</v>
      </c>
      <c r="P99" s="53">
        <f>P90+P92+P94</f>
        <v>-296.87200000000013</v>
      </c>
      <c r="Q99" s="53">
        <f>Master!G62</f>
        <v>-363.82899999999972</v>
      </c>
      <c r="R99" s="53">
        <f>R90+R92+R94</f>
        <v>143.33299999999997</v>
      </c>
      <c r="S99" s="53">
        <f>S90+S92+S94</f>
        <v>224</v>
      </c>
      <c r="T99" s="53">
        <f>T90+T92+T94</f>
        <v>305.10899999999992</v>
      </c>
      <c r="U99" s="53">
        <f>U90+U92+U94</f>
        <v>361.20000000000005</v>
      </c>
      <c r="V99" s="53">
        <f>Master!H62</f>
        <v>1033</v>
      </c>
      <c r="W99" s="53">
        <f>W90+W92+W94</f>
        <v>379.1</v>
      </c>
      <c r="X99" s="53">
        <f>X90+X92+X94</f>
        <v>489.00000000000023</v>
      </c>
      <c r="Y99" s="53">
        <f>Y90+Y92+Y94</f>
        <v>543.98850959894253</v>
      </c>
      <c r="Z99" s="53">
        <f>Z90+Z92+Z94</f>
        <v>529.23104583525446</v>
      </c>
      <c r="AA99" s="53">
        <f>Master!I62</f>
        <v>1941.3195554341974</v>
      </c>
      <c r="AB99" s="510"/>
      <c r="AC99" s="510"/>
      <c r="AD99" s="255">
        <f>I99/E99-1</f>
        <v>-5.7666666666666453</v>
      </c>
      <c r="AE99" s="255">
        <f>J99/F99-1</f>
        <v>5.8461538461539453E-2</v>
      </c>
      <c r="AF99" s="255">
        <f>K99/G99-1</f>
        <v>-0.37761235955056327</v>
      </c>
      <c r="AH99" s="255">
        <f>M99/H99-1</f>
        <v>-9.082828282828348E-2</v>
      </c>
      <c r="AI99" s="255">
        <f>N99/I99-1</f>
        <v>1.0874125874125826</v>
      </c>
      <c r="AJ99" s="255">
        <f>O99/J99-1</f>
        <v>-1.2275000000000023</v>
      </c>
      <c r="AK99" s="255">
        <f>P99/K99-1</f>
        <v>3.4661882625505989</v>
      </c>
      <c r="AL99" s="255"/>
      <c r="AM99" s="255">
        <f>R99/M99-1</f>
        <v>-4.1848946760287991</v>
      </c>
      <c r="AN99" s="255">
        <f>S99/N99-1</f>
        <v>-8.5041876046901557</v>
      </c>
      <c r="AO99" s="255">
        <f>T99/O99-1</f>
        <v>37.986583184257199</v>
      </c>
      <c r="AP99" s="255">
        <f>U99/P99-1</f>
        <v>-2.2166859791425257</v>
      </c>
    </row>
    <row r="100" spans="2:42" x14ac:dyDescent="0.6">
      <c r="B100" s="40" t="s">
        <v>371</v>
      </c>
      <c r="C100" s="40"/>
      <c r="D100" s="23"/>
      <c r="E100" s="270">
        <f t="shared" ref="E100:K100" si="54">E99/E6</f>
        <v>1.8484288354898369E-2</v>
      </c>
      <c r="F100" s="270">
        <f t="shared" si="54"/>
        <v>-0.20819987187700181</v>
      </c>
      <c r="G100" s="270">
        <f t="shared" si="54"/>
        <v>-0.52714708785784781</v>
      </c>
      <c r="H100" s="270">
        <f t="shared" si="54"/>
        <v>-0.20204081632653065</v>
      </c>
      <c r="I100" s="270">
        <f t="shared" si="54"/>
        <v>-4.2546861053257841E-2</v>
      </c>
      <c r="J100" s="270">
        <f t="shared" si="54"/>
        <v>-7.1532543148263711E-2</v>
      </c>
      <c r="K100" s="270">
        <f t="shared" si="54"/>
        <v>-0.10452401169921663</v>
      </c>
      <c r="L100" s="270"/>
      <c r="M100" s="270">
        <f>M99/M6</f>
        <v>-5.1300231286484019E-2</v>
      </c>
      <c r="N100" s="270">
        <f>N99/N6</f>
        <v>-2.5786977964876018E-2</v>
      </c>
      <c r="O100" s="270">
        <f>O99/O6</f>
        <v>5.9882163899304293E-3</v>
      </c>
      <c r="P100" s="270">
        <f>P99/P6</f>
        <v>-0.20470091127733289</v>
      </c>
      <c r="Q100" s="270"/>
      <c r="R100" s="270">
        <f t="shared" ref="R100:AA100" si="55">R99/R6</f>
        <v>8.8561676760661706E-2</v>
      </c>
      <c r="S100" s="270">
        <f t="shared" si="55"/>
        <v>0.11987584287702023</v>
      </c>
      <c r="T100" s="270">
        <f t="shared" si="55"/>
        <v>0.14279062018253819</v>
      </c>
      <c r="U100" s="270">
        <f t="shared" si="55"/>
        <v>0.14988173783144529</v>
      </c>
      <c r="V100" s="270">
        <f t="shared" si="55"/>
        <v>0.12867463876432486</v>
      </c>
      <c r="W100" s="270">
        <f t="shared" si="55"/>
        <v>0.13855994152046786</v>
      </c>
      <c r="X100" s="270">
        <f t="shared" si="55"/>
        <v>0.17165724716537376</v>
      </c>
      <c r="Y100" s="270">
        <f t="shared" si="55"/>
        <v>0.17421986013539473</v>
      </c>
      <c r="Z100" s="270">
        <f t="shared" si="55"/>
        <v>0.1628134976122593</v>
      </c>
      <c r="AA100" s="270">
        <f t="shared" si="55"/>
        <v>0.16234944159086198</v>
      </c>
      <c r="AB100" s="507"/>
      <c r="AC100" s="507"/>
      <c r="AD100" s="256"/>
      <c r="AE100" s="256"/>
      <c r="AF100" s="256"/>
      <c r="AH100" s="256"/>
      <c r="AI100" s="256"/>
      <c r="AJ100" s="256"/>
      <c r="AK100" s="256"/>
      <c r="AL100" s="256"/>
    </row>
    <row r="101" spans="2:42" x14ac:dyDescent="0.6">
      <c r="B101" s="1102" t="s">
        <v>1235</v>
      </c>
      <c r="C101" s="1102"/>
      <c r="D101" s="1100"/>
      <c r="E101" s="1100"/>
      <c r="F101" s="1100"/>
      <c r="G101" s="1100"/>
      <c r="H101" s="1100"/>
      <c r="I101" s="1100">
        <f>I104-I99</f>
        <v>30.69999999999996</v>
      </c>
      <c r="J101" s="1100">
        <f>J104-J99</f>
        <v>33.200000000000017</v>
      </c>
      <c r="K101" s="1100">
        <f>K104-K99</f>
        <v>69.670999999999836</v>
      </c>
      <c r="L101" s="1100"/>
      <c r="M101" s="1100">
        <f>M104-M99</f>
        <v>55.103999999999978</v>
      </c>
      <c r="N101" s="1100">
        <f>N104-N99</f>
        <v>46.849999999999852</v>
      </c>
      <c r="O101" s="1100">
        <f>O104-O99</f>
        <v>65.173999999999921</v>
      </c>
      <c r="P101" s="1100">
        <f>P104-P99</f>
        <v>410.87200000000013</v>
      </c>
      <c r="Q101" s="1100"/>
      <c r="R101" s="1100">
        <f>R104-R99</f>
        <v>38.66700000000003</v>
      </c>
      <c r="S101" s="1100">
        <f>S104-S99</f>
        <v>38.699999999999989</v>
      </c>
      <c r="T101" s="1100">
        <f>T104-T99</f>
        <v>50.491000000000099</v>
      </c>
      <c r="U101" s="1100">
        <f>U104-U99</f>
        <v>34.599999999999966</v>
      </c>
      <c r="V101" s="1100"/>
      <c r="W101" s="1100">
        <f>W104-W99</f>
        <v>63.599999999999966</v>
      </c>
      <c r="X101" s="1100">
        <f>X104-X99</f>
        <v>73.499999999999773</v>
      </c>
      <c r="Y101" s="59">
        <v>60</v>
      </c>
      <c r="Z101" s="1100">
        <f>Master!I65-Quarts!W101-Quarts!X101-Quarts!Y101</f>
        <v>48.150000000000261</v>
      </c>
      <c r="AA101" s="1100"/>
    </row>
    <row r="102" spans="2:42" x14ac:dyDescent="0.6">
      <c r="B102" s="1102"/>
      <c r="C102" s="1102"/>
      <c r="D102" s="1100"/>
      <c r="E102" s="1100"/>
      <c r="F102" s="1100"/>
      <c r="G102" s="1100"/>
      <c r="H102" s="1100"/>
      <c r="I102" s="1100"/>
      <c r="J102" s="1100"/>
      <c r="K102" s="1100"/>
      <c r="L102" s="1100"/>
      <c r="M102" s="1100"/>
      <c r="N102" s="1100"/>
      <c r="O102" s="1100"/>
      <c r="P102" s="1100"/>
      <c r="Q102" s="1100"/>
      <c r="R102" s="1100"/>
      <c r="S102" s="1100"/>
      <c r="T102" s="1100"/>
      <c r="U102" s="1100"/>
      <c r="V102" s="1100"/>
      <c r="W102" s="1100"/>
      <c r="X102" s="1100"/>
      <c r="Y102" s="1096"/>
      <c r="Z102" s="1096"/>
      <c r="AA102" s="1100"/>
    </row>
    <row r="103" spans="2:42" x14ac:dyDescent="0.6">
      <c r="B103" s="1102"/>
      <c r="C103" s="1102"/>
      <c r="D103" s="1100"/>
      <c r="E103" s="1100"/>
      <c r="F103" s="1100"/>
      <c r="G103" s="1100"/>
      <c r="H103" s="1100"/>
      <c r="I103" s="1100"/>
      <c r="J103" s="1100"/>
      <c r="K103" s="1100"/>
      <c r="L103" s="1100"/>
      <c r="M103" s="1100"/>
      <c r="N103" s="1100"/>
      <c r="O103" s="1100"/>
      <c r="P103" s="1100"/>
      <c r="Q103" s="1100"/>
      <c r="R103" s="1100"/>
      <c r="S103" s="1100"/>
      <c r="T103" s="1100"/>
      <c r="U103" s="1100"/>
      <c r="V103" s="1100"/>
      <c r="W103" s="1100"/>
      <c r="X103" s="1100"/>
      <c r="Y103" s="1097"/>
      <c r="Z103" s="1097"/>
      <c r="AA103" s="1100"/>
    </row>
    <row r="104" spans="2:42" x14ac:dyDescent="0.6">
      <c r="B104" s="40" t="s">
        <v>1155</v>
      </c>
      <c r="C104" s="40"/>
      <c r="D104" s="23"/>
      <c r="E104" s="270"/>
      <c r="F104" s="270"/>
      <c r="G104" s="270"/>
      <c r="H104" s="270"/>
      <c r="I104" s="23">
        <v>16.399999999999999</v>
      </c>
      <c r="J104" s="23">
        <v>-1.2</v>
      </c>
      <c r="K104" s="23">
        <v>3.2</v>
      </c>
      <c r="L104" s="270"/>
      <c r="M104" s="23">
        <v>10.1</v>
      </c>
      <c r="N104" s="23">
        <v>17</v>
      </c>
      <c r="O104" s="23">
        <v>73</v>
      </c>
      <c r="P104" s="23">
        <v>114</v>
      </c>
      <c r="Q104" s="270"/>
      <c r="R104" s="23">
        <v>182</v>
      </c>
      <c r="S104" s="23">
        <v>262.7</v>
      </c>
      <c r="T104" s="23">
        <v>355.6</v>
      </c>
      <c r="U104" s="23">
        <v>395.8</v>
      </c>
      <c r="V104" s="270"/>
      <c r="W104" s="23">
        <v>442.7</v>
      </c>
      <c r="X104" s="23">
        <v>562.5</v>
      </c>
      <c r="Y104" s="23">
        <f t="shared" ref="Y104:Z104" si="56">Y99+Y101</f>
        <v>603.98850959894253</v>
      </c>
      <c r="Z104" s="23">
        <f t="shared" si="56"/>
        <v>577.38104583525478</v>
      </c>
      <c r="AA104" s="270"/>
      <c r="AB104" s="507"/>
      <c r="AC104" s="507"/>
      <c r="AD104" s="256"/>
      <c r="AE104" s="256"/>
      <c r="AF104" s="256"/>
      <c r="AH104" s="256"/>
      <c r="AI104" s="256"/>
      <c r="AJ104" s="256"/>
      <c r="AK104" s="256"/>
      <c r="AL104" s="256"/>
    </row>
    <row r="105" spans="2:42" x14ac:dyDescent="0.6">
      <c r="B105" s="1102" t="s">
        <v>371</v>
      </c>
      <c r="C105" s="1102"/>
      <c r="D105" s="1100"/>
      <c r="E105" s="1100"/>
      <c r="F105" s="1100"/>
      <c r="G105" s="1100"/>
      <c r="H105" s="1100"/>
      <c r="I105" s="1104">
        <f>I104/I6</f>
        <v>4.8795001487652478E-2</v>
      </c>
      <c r="J105" s="1104">
        <f>J104/J6</f>
        <v>-2.495321272613849E-3</v>
      </c>
      <c r="K105" s="1104">
        <f>K104/K6</f>
        <v>5.0319212504324308E-3</v>
      </c>
      <c r="L105" s="1100"/>
      <c r="M105" s="1104">
        <f>M104/M6</f>
        <v>1.1513028530652582E-2</v>
      </c>
      <c r="N105" s="1104">
        <f>N104/N6</f>
        <v>1.4686051102274522E-2</v>
      </c>
      <c r="O105" s="1104">
        <f>O104/O6</f>
        <v>5.5857372407988368E-2</v>
      </c>
      <c r="P105" s="1104">
        <f>P104/P6</f>
        <v>7.860594426424837E-2</v>
      </c>
      <c r="Q105" s="1100"/>
      <c r="R105" s="1104">
        <f>R104/R6</f>
        <v>0.11245299526585248</v>
      </c>
      <c r="S105" s="1104">
        <f>S104/S6</f>
        <v>0.14058653537407684</v>
      </c>
      <c r="T105" s="1104">
        <f>T104/T6</f>
        <v>0.16642034334257788</v>
      </c>
      <c r="U105" s="1104">
        <f>U104/U6</f>
        <v>0.16423918004896468</v>
      </c>
      <c r="V105" s="1100"/>
      <c r="W105" s="1104">
        <f>W104/W6</f>
        <v>0.16180555555555556</v>
      </c>
      <c r="X105" s="1104">
        <f>X104/X6</f>
        <v>0.19745848983746969</v>
      </c>
      <c r="Y105" s="1104">
        <f>Y104/Y6</f>
        <v>0.19343569176358544</v>
      </c>
      <c r="Z105" s="1104">
        <f>Z104/Z6</f>
        <v>0.17762644173510031</v>
      </c>
      <c r="AA105" s="1100"/>
    </row>
    <row r="106" spans="2:42" x14ac:dyDescent="0.6">
      <c r="B106" s="1105" t="s">
        <v>1444</v>
      </c>
      <c r="C106" s="1102"/>
      <c r="D106" s="1100"/>
      <c r="E106" s="1100"/>
      <c r="F106" s="1100"/>
      <c r="G106" s="1100"/>
      <c r="H106" s="1100"/>
      <c r="I106" s="1104"/>
      <c r="J106" s="1104"/>
      <c r="K106" s="1100">
        <v>-3.8</v>
      </c>
      <c r="L106" s="1100"/>
      <c r="M106" s="1100">
        <v>12.6</v>
      </c>
      <c r="N106" s="1100">
        <v>47.6</v>
      </c>
      <c r="O106" s="1100">
        <v>64.099999999999994</v>
      </c>
      <c r="P106" s="1100">
        <v>157.69999999999999</v>
      </c>
      <c r="Q106" s="1100"/>
      <c r="R106" s="1100">
        <v>200</v>
      </c>
      <c r="S106" s="1100"/>
      <c r="T106" s="1100"/>
      <c r="U106" s="1100"/>
      <c r="V106" s="1100"/>
      <c r="W106" s="1100"/>
      <c r="X106" s="1100"/>
      <c r="Y106" s="1104"/>
      <c r="Z106" s="1104"/>
      <c r="AA106" s="1100"/>
    </row>
    <row r="107" spans="2:42" x14ac:dyDescent="0.6">
      <c r="B107" s="1105" t="s">
        <v>1293</v>
      </c>
      <c r="C107" s="1102"/>
      <c r="D107" s="1100"/>
      <c r="E107" s="1100"/>
      <c r="F107" s="1100"/>
      <c r="G107" s="1100"/>
      <c r="H107" s="1100"/>
      <c r="I107" s="1104"/>
      <c r="J107" s="1104"/>
      <c r="K107" s="1100">
        <f>K104-K106</f>
        <v>7</v>
      </c>
      <c r="L107" s="1100"/>
      <c r="M107" s="1100">
        <f>M104-M106</f>
        <v>-2.5</v>
      </c>
      <c r="N107" s="1100">
        <f>N104-N106</f>
        <v>-30.6</v>
      </c>
      <c r="O107" s="1100">
        <f>O104-O106</f>
        <v>8.9000000000000057</v>
      </c>
      <c r="P107" s="1100">
        <f>P104-P106</f>
        <v>-43.699999999999989</v>
      </c>
      <c r="Q107" s="1100"/>
      <c r="R107" s="1100">
        <f>R104-R106</f>
        <v>-18</v>
      </c>
      <c r="S107" s="1100">
        <f>S104-S106</f>
        <v>262.7</v>
      </c>
      <c r="T107" s="1100"/>
      <c r="U107" s="1100"/>
      <c r="V107" s="1100"/>
      <c r="W107" s="1100"/>
      <c r="X107" s="1100"/>
      <c r="Y107" s="1104"/>
      <c r="Z107" s="1104"/>
      <c r="AA107" s="1100"/>
    </row>
    <row r="108" spans="2:42" x14ac:dyDescent="0.6">
      <c r="B108" s="1102"/>
      <c r="C108" s="1102"/>
      <c r="D108" s="1100"/>
      <c r="E108" s="1100"/>
      <c r="F108" s="1100"/>
      <c r="G108" s="1100"/>
      <c r="H108" s="1100"/>
      <c r="I108" s="1104"/>
      <c r="J108" s="1104"/>
      <c r="K108" s="1104"/>
      <c r="L108" s="1100"/>
      <c r="M108" s="1104"/>
      <c r="N108" s="1104"/>
      <c r="O108" s="1104"/>
      <c r="P108" s="1104"/>
      <c r="Q108" s="1100"/>
      <c r="R108" s="1100"/>
      <c r="S108" s="1100"/>
      <c r="T108" s="1100"/>
      <c r="U108" s="1100"/>
      <c r="V108" s="1100"/>
      <c r="W108" s="1100"/>
      <c r="X108" s="1100"/>
      <c r="Y108" s="1104"/>
      <c r="Z108" s="1104"/>
      <c r="AA108" s="1100"/>
    </row>
    <row r="109" spans="2:42" x14ac:dyDescent="0.6">
      <c r="B109" s="40" t="s">
        <v>1085</v>
      </c>
      <c r="C109" s="1102"/>
      <c r="D109" s="1100"/>
      <c r="E109" s="1100"/>
      <c r="F109" s="1100"/>
      <c r="G109" s="1100"/>
      <c r="H109" s="1100"/>
      <c r="I109" s="1104"/>
      <c r="J109" s="1104"/>
      <c r="K109" s="1104"/>
      <c r="L109" s="1100"/>
      <c r="M109" s="1104"/>
      <c r="N109" s="1104"/>
      <c r="O109" s="1104"/>
      <c r="P109" s="1104"/>
      <c r="Q109" s="1100"/>
      <c r="R109" s="1100"/>
      <c r="S109" s="1100"/>
      <c r="T109" s="1100"/>
      <c r="U109" s="1100"/>
      <c r="V109" s="1100"/>
      <c r="W109" s="1100"/>
      <c r="X109" s="1100"/>
      <c r="Y109" s="1104"/>
      <c r="Z109" s="1104"/>
      <c r="AA109" s="1100"/>
    </row>
    <row r="110" spans="2:42" x14ac:dyDescent="0.6">
      <c r="B110" s="1102" t="s">
        <v>1456</v>
      </c>
      <c r="C110" s="1102"/>
      <c r="D110" s="1100"/>
      <c r="E110" s="1100"/>
      <c r="F110" s="1100"/>
      <c r="G110" s="1100"/>
      <c r="H110" s="1100"/>
      <c r="I110" s="1104"/>
      <c r="J110" s="1104"/>
      <c r="K110" s="1104"/>
      <c r="L110" s="1100"/>
      <c r="M110" s="1104"/>
      <c r="N110" s="1104"/>
      <c r="O110" s="1104"/>
      <c r="P110" s="1104">
        <f>P99*4/P$113</f>
        <v>-0.2428359600440321</v>
      </c>
      <c r="Q110" s="1100"/>
      <c r="R110" s="1104">
        <f>R99*4/R$113</f>
        <v>0.11007577774957611</v>
      </c>
      <c r="S110" s="1104">
        <f>S99*4/S$113</f>
        <v>0.15872453498671391</v>
      </c>
      <c r="T110" s="1104">
        <f>T99*4/T$113</f>
        <v>0.20723993886907788</v>
      </c>
      <c r="U110" s="1104">
        <f>U99*4/U$113</f>
        <v>0.22553855760224792</v>
      </c>
      <c r="V110" s="1100"/>
      <c r="W110" s="1104">
        <f>W99*4/W$113</f>
        <v>0.22290166103189771</v>
      </c>
      <c r="X110" s="1104">
        <f>X99*4/X$113</f>
        <v>0.28253647262747378</v>
      </c>
      <c r="Y110" s="1104">
        <f>Y99*4/Y$113</f>
        <v>0.2914098549366379</v>
      </c>
      <c r="Z110" s="1104">
        <f>Z99*4/Z$113</f>
        <v>0.26474062757598554</v>
      </c>
      <c r="AA110" s="1100"/>
    </row>
    <row r="111" spans="2:42" x14ac:dyDescent="0.6">
      <c r="B111" s="40" t="s">
        <v>1457</v>
      </c>
      <c r="C111" s="40"/>
      <c r="D111" s="23"/>
      <c r="E111" s="23"/>
      <c r="F111" s="23"/>
      <c r="G111" s="23"/>
      <c r="H111" s="23"/>
      <c r="I111" s="270"/>
      <c r="J111" s="270"/>
      <c r="K111" s="270"/>
      <c r="L111" s="23"/>
      <c r="M111" s="270"/>
      <c r="N111" s="270"/>
      <c r="O111" s="270"/>
      <c r="P111" s="270">
        <f>P104*4/P$113</f>
        <v>9.3249950972202317E-2</v>
      </c>
      <c r="Q111" s="23"/>
      <c r="R111" s="270">
        <f>R104*4/R$113</f>
        <v>0.13977096377263334</v>
      </c>
      <c r="S111" s="270">
        <f>S104*4/S$113</f>
        <v>0.18614703277236491</v>
      </c>
      <c r="T111" s="270">
        <f>T104*4/T$113</f>
        <v>0.24153506537612499</v>
      </c>
      <c r="U111" s="270">
        <f>U104*4/U$113</f>
        <v>0.2471433031532938</v>
      </c>
      <c r="V111" s="23"/>
      <c r="W111" s="270">
        <f>W104*4/W$113</f>
        <v>0.26029692782595915</v>
      </c>
      <c r="X111" s="270">
        <f>X104*4/X$113</f>
        <v>0.32500361115123499</v>
      </c>
      <c r="Y111" s="270">
        <f>Y104*4/Y$113</f>
        <v>0.32355132665465058</v>
      </c>
      <c r="Z111" s="270">
        <f>Z104*4/Z$113</f>
        <v>0.28882700973005127</v>
      </c>
      <c r="AA111" s="1100"/>
    </row>
    <row r="112" spans="2:42" x14ac:dyDescent="0.6">
      <c r="B112" s="1102"/>
      <c r="C112" s="1102"/>
      <c r="D112" s="1100"/>
      <c r="E112" s="1100"/>
      <c r="F112" s="1100"/>
      <c r="G112" s="1100"/>
      <c r="H112" s="1100"/>
      <c r="I112" s="1104"/>
      <c r="J112" s="1104"/>
      <c r="K112" s="1104"/>
      <c r="L112" s="1100"/>
      <c r="M112" s="1104"/>
      <c r="N112" s="1104"/>
      <c r="O112" s="1104"/>
      <c r="P112" s="1104"/>
      <c r="Q112" s="1100"/>
      <c r="R112" s="1100"/>
      <c r="S112" s="1100"/>
      <c r="T112" s="1100"/>
      <c r="U112" s="1100"/>
      <c r="V112" s="1100"/>
      <c r="W112" s="1100"/>
      <c r="X112" s="1100"/>
      <c r="Y112" s="1104"/>
      <c r="Z112" s="1104"/>
      <c r="AA112" s="1100"/>
    </row>
    <row r="113" spans="2:36" x14ac:dyDescent="0.6">
      <c r="B113" s="1102" t="s">
        <v>78</v>
      </c>
      <c r="C113" s="1102"/>
      <c r="D113" s="1100"/>
      <c r="E113" s="1100"/>
      <c r="F113" s="1100"/>
      <c r="G113" s="1100"/>
      <c r="H113" s="1100"/>
      <c r="I113" s="1104"/>
      <c r="J113" s="1104"/>
      <c r="K113" s="1104"/>
      <c r="L113" s="1100"/>
      <c r="M113" s="1100"/>
      <c r="N113" s="1104"/>
      <c r="O113" s="1104"/>
      <c r="P113" s="1100">
        <f>Master!G229</f>
        <v>4890.0829999999996</v>
      </c>
      <c r="Q113" s="1100"/>
      <c r="R113" s="1100">
        <v>5208.5209999999997</v>
      </c>
      <c r="S113" s="1100">
        <v>5645</v>
      </c>
      <c r="T113" s="1100">
        <v>5889</v>
      </c>
      <c r="U113" s="1100">
        <v>6406</v>
      </c>
      <c r="V113" s="1100"/>
      <c r="W113" s="1100">
        <v>6803</v>
      </c>
      <c r="X113" s="1100">
        <v>6923</v>
      </c>
      <c r="Y113" s="1100">
        <f>X113+Y99</f>
        <v>7466.988509598943</v>
      </c>
      <c r="Z113" s="1100">
        <f>Y113+Z99</f>
        <v>7996.2195554341979</v>
      </c>
      <c r="AA113" s="1100"/>
    </row>
    <row r="114" spans="2:36" x14ac:dyDescent="0.6">
      <c r="B114" s="896"/>
      <c r="C114" s="17"/>
      <c r="I114" s="344"/>
      <c r="J114" s="344"/>
      <c r="K114" s="344"/>
      <c r="M114" s="344"/>
      <c r="N114" s="344"/>
      <c r="O114" s="344"/>
      <c r="P114" s="344"/>
      <c r="Y114" s="344"/>
      <c r="Z114" s="344"/>
    </row>
    <row r="115" spans="2:36" x14ac:dyDescent="0.6">
      <c r="B115" s="1059" t="s">
        <v>669</v>
      </c>
      <c r="C115" s="17"/>
      <c r="I115" s="344"/>
      <c r="J115" s="344"/>
      <c r="K115" s="344"/>
      <c r="M115" s="344"/>
      <c r="N115" s="344"/>
      <c r="O115" s="344"/>
      <c r="P115" s="344"/>
      <c r="Y115" s="344"/>
      <c r="Z115" s="344"/>
    </row>
    <row r="116" spans="2:36" x14ac:dyDescent="0.6">
      <c r="B116" s="1058" t="s">
        <v>1442</v>
      </c>
      <c r="C116" s="17"/>
      <c r="I116" s="344"/>
      <c r="J116" s="344"/>
      <c r="K116" s="344"/>
      <c r="M116" s="344"/>
      <c r="N116" s="344"/>
      <c r="O116" s="344"/>
      <c r="P116" s="344"/>
      <c r="Y116" s="344"/>
      <c r="Z116" s="344"/>
    </row>
    <row r="117" spans="2:36" x14ac:dyDescent="0.6">
      <c r="B117" s="1058" t="s">
        <v>1443</v>
      </c>
      <c r="C117" s="17"/>
      <c r="I117" s="344"/>
      <c r="J117" s="344"/>
      <c r="K117" s="344"/>
      <c r="M117" s="344"/>
      <c r="N117" s="344"/>
      <c r="O117" s="344"/>
      <c r="P117" s="344"/>
      <c r="Y117" s="344"/>
      <c r="Z117" s="344"/>
    </row>
    <row r="118" spans="2:36" x14ac:dyDescent="0.6">
      <c r="B118" s="17"/>
      <c r="C118" s="17"/>
    </row>
    <row r="119" spans="2:36" x14ac:dyDescent="0.6">
      <c r="B119" s="17" t="s">
        <v>15</v>
      </c>
      <c r="C119" s="17"/>
      <c r="AC119" s="104"/>
      <c r="AD119" s="104"/>
      <c r="AE119" s="104"/>
      <c r="AF119" s="104"/>
      <c r="AH119" s="104"/>
      <c r="AI119" s="104"/>
      <c r="AJ119" s="104"/>
    </row>
    <row r="120" spans="2:36" x14ac:dyDescent="0.6">
      <c r="B120" s="17" t="s">
        <v>16</v>
      </c>
      <c r="C120" s="17"/>
    </row>
    <row r="121" spans="2:36" x14ac:dyDescent="0.6">
      <c r="B121" s="17"/>
      <c r="C121" s="17"/>
      <c r="AC121" s="104"/>
      <c r="AD121" s="104"/>
      <c r="AE121" s="104"/>
      <c r="AF121" s="104"/>
      <c r="AH121" s="104"/>
      <c r="AI121" s="104"/>
      <c r="AJ121" s="104"/>
    </row>
    <row r="122" spans="2:36" x14ac:dyDescent="0.6">
      <c r="B122" s="17" t="s">
        <v>17</v>
      </c>
      <c r="C122" s="17"/>
    </row>
    <row r="123" spans="2:36" x14ac:dyDescent="0.6">
      <c r="B123" s="17" t="s">
        <v>18</v>
      </c>
      <c r="C123" s="17"/>
      <c r="AC123" s="104"/>
      <c r="AD123" s="104"/>
      <c r="AE123" s="104"/>
      <c r="AF123" s="104"/>
      <c r="AH123" s="104"/>
      <c r="AI123" s="104"/>
      <c r="AJ123" s="104"/>
    </row>
    <row r="124" spans="2:36" x14ac:dyDescent="0.6">
      <c r="AC124" s="104"/>
      <c r="AD124" s="104"/>
      <c r="AE124" s="104"/>
      <c r="AF124" s="104"/>
      <c r="AH124" s="104"/>
      <c r="AI124" s="104"/>
      <c r="AJ124" s="104"/>
    </row>
    <row r="125" spans="2:36" x14ac:dyDescent="0.6">
      <c r="B125" s="40" t="s">
        <v>1896</v>
      </c>
      <c r="AC125" s="104"/>
      <c r="AD125" s="104"/>
      <c r="AE125" s="104"/>
      <c r="AF125" s="104"/>
      <c r="AH125" s="104"/>
      <c r="AI125" s="104"/>
      <c r="AJ125" s="104"/>
    </row>
    <row r="126" spans="2:36" x14ac:dyDescent="0.6">
      <c r="B126" s="1150" t="s">
        <v>228</v>
      </c>
      <c r="AC126" s="104"/>
      <c r="AD126" s="104"/>
      <c r="AE126" s="104"/>
      <c r="AF126" s="104"/>
      <c r="AH126" s="104"/>
      <c r="AI126" s="104"/>
      <c r="AJ126" s="104"/>
    </row>
    <row r="127" spans="2:36" x14ac:dyDescent="0.6">
      <c r="B127" s="40"/>
      <c r="AC127" s="104"/>
      <c r="AD127" s="104"/>
      <c r="AE127" s="104"/>
      <c r="AF127" s="104"/>
      <c r="AH127" s="104"/>
      <c r="AI127" s="104"/>
      <c r="AJ127" s="104"/>
    </row>
    <row r="128" spans="2:36" x14ac:dyDescent="0.6">
      <c r="B128" s="1150" t="s">
        <v>1897</v>
      </c>
      <c r="AC128" s="104"/>
      <c r="AD128" s="104"/>
      <c r="AE128" s="104"/>
      <c r="AF128" s="104"/>
      <c r="AH128" s="104"/>
      <c r="AI128" s="104"/>
      <c r="AJ128" s="104"/>
    </row>
    <row r="129" spans="2:36" x14ac:dyDescent="0.6">
      <c r="B129" s="40"/>
      <c r="AC129" s="104"/>
      <c r="AD129" s="104"/>
      <c r="AE129" s="104"/>
      <c r="AF129" s="104"/>
      <c r="AH129" s="104"/>
      <c r="AI129" s="104"/>
      <c r="AJ129" s="104"/>
    </row>
    <row r="130" spans="2:36" x14ac:dyDescent="0.6">
      <c r="B130" s="1157" t="s">
        <v>1922</v>
      </c>
      <c r="T130" s="43">
        <v>1765</v>
      </c>
      <c r="U130" s="43">
        <v>2197</v>
      </c>
      <c r="AC130" s="104"/>
      <c r="AD130" s="104"/>
      <c r="AE130" s="104"/>
      <c r="AF130" s="104"/>
      <c r="AH130" s="104"/>
      <c r="AI130" s="104"/>
      <c r="AJ130" s="104"/>
    </row>
    <row r="131" spans="2:36" x14ac:dyDescent="0.6">
      <c r="B131" s="1156" t="s">
        <v>1921</v>
      </c>
      <c r="C131" s="84"/>
      <c r="D131" s="343"/>
      <c r="E131" s="343"/>
      <c r="F131" s="343"/>
      <c r="G131" s="343"/>
      <c r="H131" s="343"/>
      <c r="I131" s="343"/>
      <c r="J131" s="343"/>
      <c r="K131" s="343"/>
      <c r="L131" s="343"/>
      <c r="M131" s="343"/>
      <c r="N131" s="343"/>
      <c r="O131" s="343"/>
      <c r="P131" s="343"/>
      <c r="Q131" s="343"/>
      <c r="R131" s="343"/>
      <c r="S131" s="343"/>
      <c r="T131" s="343">
        <v>145</v>
      </c>
      <c r="U131" s="343">
        <v>199</v>
      </c>
      <c r="W131" s="343"/>
      <c r="AC131" s="104"/>
      <c r="AD131" s="104"/>
      <c r="AE131" s="104"/>
      <c r="AF131" s="104"/>
      <c r="AH131" s="104"/>
      <c r="AI131" s="104"/>
      <c r="AJ131" s="104"/>
    </row>
    <row r="132" spans="2:36" x14ac:dyDescent="0.6">
      <c r="B132" s="40" t="s">
        <v>1908</v>
      </c>
      <c r="T132" s="23">
        <f>T130+T131</f>
        <v>1910</v>
      </c>
      <c r="U132" s="23">
        <f>U130+U131</f>
        <v>2396</v>
      </c>
      <c r="AC132" s="104"/>
      <c r="AD132" s="104"/>
      <c r="AE132" s="104"/>
      <c r="AF132" s="104"/>
      <c r="AH132" s="104"/>
      <c r="AI132" s="104"/>
      <c r="AJ132" s="104"/>
    </row>
    <row r="133" spans="2:36" x14ac:dyDescent="0.6">
      <c r="B133" s="40" t="s">
        <v>1909</v>
      </c>
      <c r="T133" s="43">
        <v>217</v>
      </c>
      <c r="U133" s="43">
        <v>233</v>
      </c>
      <c r="AC133" s="104"/>
      <c r="AD133" s="104"/>
      <c r="AE133" s="104"/>
      <c r="AF133" s="104"/>
      <c r="AH133" s="104"/>
      <c r="AI133" s="104"/>
      <c r="AJ133" s="104"/>
    </row>
    <row r="134" spans="2:36" x14ac:dyDescent="0.6">
      <c r="B134" s="40" t="s">
        <v>1898</v>
      </c>
      <c r="C134" s="20"/>
      <c r="D134" s="23"/>
      <c r="E134" s="23"/>
      <c r="F134" s="23"/>
      <c r="G134" s="23"/>
      <c r="H134" s="23"/>
      <c r="I134" s="23"/>
      <c r="J134" s="23"/>
      <c r="K134" s="23"/>
      <c r="L134" s="23"/>
      <c r="M134" s="23"/>
      <c r="N134" s="23"/>
      <c r="O134" s="23"/>
      <c r="P134" s="23"/>
      <c r="R134" s="23"/>
      <c r="S134" s="23"/>
      <c r="T134" s="23">
        <f>T132+T133</f>
        <v>2127</v>
      </c>
      <c r="U134" s="23">
        <f>U132+U133</f>
        <v>2629</v>
      </c>
      <c r="W134" s="23"/>
      <c r="X134" s="23"/>
      <c r="AC134" s="104"/>
      <c r="AD134" s="104"/>
      <c r="AE134" s="104"/>
      <c r="AF134" s="104"/>
      <c r="AH134" s="104"/>
      <c r="AI134" s="104"/>
      <c r="AJ134" s="104"/>
    </row>
    <row r="135" spans="2:36" x14ac:dyDescent="0.6">
      <c r="B135" s="40"/>
      <c r="AC135" s="104"/>
      <c r="AD135" s="104"/>
      <c r="AE135" s="104"/>
      <c r="AF135" s="104"/>
      <c r="AH135" s="104"/>
      <c r="AI135" s="104"/>
      <c r="AJ135" s="104"/>
    </row>
    <row r="136" spans="2:36" x14ac:dyDescent="0.6">
      <c r="B136" s="40" t="s">
        <v>1332</v>
      </c>
      <c r="AC136" s="104"/>
      <c r="AD136" s="104"/>
      <c r="AE136" s="104"/>
      <c r="AF136" s="104"/>
      <c r="AH136" s="104"/>
      <c r="AI136" s="104"/>
      <c r="AJ136" s="104"/>
    </row>
    <row r="137" spans="2:36" x14ac:dyDescent="0.6">
      <c r="B137" s="40" t="s">
        <v>234</v>
      </c>
      <c r="T137" s="43">
        <v>11847</v>
      </c>
      <c r="U137" s="43">
        <v>13774</v>
      </c>
      <c r="AC137" s="104"/>
      <c r="AD137" s="104"/>
      <c r="AE137" s="104"/>
      <c r="AF137" s="104"/>
      <c r="AH137" s="104"/>
      <c r="AI137" s="104"/>
      <c r="AJ137" s="104"/>
    </row>
    <row r="138" spans="2:36" x14ac:dyDescent="0.6">
      <c r="B138" s="40" t="s">
        <v>457</v>
      </c>
      <c r="T138" s="43">
        <v>123</v>
      </c>
      <c r="U138" s="43">
        <v>145</v>
      </c>
      <c r="AC138" s="104"/>
      <c r="AD138" s="104"/>
      <c r="AE138" s="104"/>
      <c r="AF138" s="104"/>
      <c r="AH138" s="104"/>
      <c r="AI138" s="104"/>
      <c r="AJ138" s="104"/>
    </row>
    <row r="139" spans="2:36" x14ac:dyDescent="0.6">
      <c r="B139" s="40" t="s">
        <v>1792</v>
      </c>
      <c r="T139" s="43">
        <v>6141</v>
      </c>
      <c r="U139" s="43">
        <v>4036</v>
      </c>
      <c r="AC139" s="104"/>
      <c r="AD139" s="104"/>
      <c r="AE139" s="104"/>
      <c r="AF139" s="104"/>
      <c r="AH139" s="104"/>
      <c r="AI139" s="104"/>
      <c r="AJ139" s="104"/>
    </row>
    <row r="140" spans="2:36" x14ac:dyDescent="0.6">
      <c r="B140" s="1152" t="s">
        <v>1899</v>
      </c>
      <c r="C140" s="84"/>
      <c r="D140" s="343"/>
      <c r="E140" s="343"/>
      <c r="F140" s="343"/>
      <c r="G140" s="343"/>
      <c r="H140" s="343"/>
      <c r="I140" s="343"/>
      <c r="J140" s="343"/>
      <c r="K140" s="343"/>
      <c r="L140" s="343"/>
      <c r="M140" s="343"/>
      <c r="N140" s="343"/>
      <c r="O140" s="343"/>
      <c r="P140" s="343"/>
      <c r="Q140" s="343"/>
      <c r="R140" s="343"/>
      <c r="S140" s="343"/>
      <c r="T140" s="343">
        <v>1183</v>
      </c>
      <c r="U140" s="343">
        <v>1306</v>
      </c>
      <c r="W140" s="343"/>
      <c r="AC140" s="104"/>
      <c r="AD140" s="104"/>
      <c r="AE140" s="104"/>
      <c r="AF140" s="104"/>
      <c r="AH140" s="104"/>
      <c r="AI140" s="104"/>
      <c r="AJ140" s="104"/>
    </row>
    <row r="141" spans="2:36" x14ac:dyDescent="0.6">
      <c r="B141" s="40" t="s">
        <v>1900</v>
      </c>
      <c r="C141" s="20"/>
      <c r="D141" s="23"/>
      <c r="E141" s="23"/>
      <c r="F141" s="23"/>
      <c r="G141" s="23"/>
      <c r="H141" s="23"/>
      <c r="I141" s="23"/>
      <c r="J141" s="23"/>
      <c r="K141" s="23"/>
      <c r="L141" s="23"/>
      <c r="M141" s="23"/>
      <c r="N141" s="23"/>
      <c r="O141" s="23"/>
      <c r="P141" s="23"/>
      <c r="R141" s="23"/>
      <c r="S141" s="23"/>
      <c r="T141" s="23">
        <f>SUM(T137:T140)</f>
        <v>19294</v>
      </c>
      <c r="U141" s="23">
        <f>SUM(U137:U140)</f>
        <v>19261</v>
      </c>
      <c r="W141" s="23"/>
      <c r="X141" s="23"/>
      <c r="AC141" s="104"/>
      <c r="AD141" s="104"/>
      <c r="AE141" s="104"/>
      <c r="AF141" s="104"/>
      <c r="AH141" s="104"/>
      <c r="AI141" s="104"/>
      <c r="AJ141" s="104"/>
    </row>
    <row r="142" spans="2:36" x14ac:dyDescent="0.6">
      <c r="B142" s="950" t="s">
        <v>1912</v>
      </c>
      <c r="C142" s="20"/>
      <c r="D142" s="23"/>
      <c r="E142" s="23"/>
      <c r="F142" s="23"/>
      <c r="G142" s="23"/>
      <c r="H142" s="23"/>
      <c r="I142" s="23"/>
      <c r="J142" s="23"/>
      <c r="K142" s="23"/>
      <c r="L142" s="23"/>
      <c r="M142" s="23"/>
      <c r="N142" s="23"/>
      <c r="O142" s="23"/>
      <c r="P142" s="23"/>
      <c r="R142" s="23"/>
      <c r="S142" s="23"/>
      <c r="T142" s="1174"/>
      <c r="U142" s="1174"/>
      <c r="W142" s="23"/>
      <c r="X142" s="23"/>
      <c r="AC142" s="104"/>
      <c r="AD142" s="104"/>
      <c r="AE142" s="104"/>
      <c r="AF142" s="104"/>
      <c r="AH142" s="104"/>
      <c r="AI142" s="104"/>
      <c r="AJ142" s="104"/>
    </row>
    <row r="143" spans="2:36" x14ac:dyDescent="0.6">
      <c r="B143" s="40"/>
      <c r="AC143" s="104"/>
      <c r="AD143" s="104"/>
      <c r="AE143" s="104"/>
      <c r="AF143" s="104"/>
      <c r="AH143" s="104"/>
      <c r="AI143" s="104"/>
      <c r="AJ143" s="104"/>
    </row>
    <row r="144" spans="2:36" x14ac:dyDescent="0.6">
      <c r="B144" s="40" t="s">
        <v>1904</v>
      </c>
      <c r="R144" s="1153" t="s">
        <v>1910</v>
      </c>
      <c r="S144" s="1153" t="s">
        <v>501</v>
      </c>
      <c r="T144" s="1153" t="s">
        <v>1911</v>
      </c>
      <c r="U144" s="1153"/>
      <c r="W144" s="1153"/>
      <c r="X144" s="1153"/>
      <c r="AC144" s="104"/>
      <c r="AD144" s="104"/>
      <c r="AE144" s="104"/>
      <c r="AF144" s="104"/>
      <c r="AH144" s="104"/>
      <c r="AI144" s="104"/>
      <c r="AJ144" s="104"/>
    </row>
    <row r="145" spans="2:36" x14ac:dyDescent="0.6">
      <c r="B145" s="1151" t="s">
        <v>1901</v>
      </c>
      <c r="R145" s="1154">
        <v>0</v>
      </c>
      <c r="S145" s="1154">
        <v>5.5E-2</v>
      </c>
      <c r="T145" s="1154">
        <f ca="1">T151/T141</f>
        <v>6.7482118793407278E-2</v>
      </c>
      <c r="U145" s="1154">
        <f ca="1">T145</f>
        <v>6.7482118793407278E-2</v>
      </c>
      <c r="W145" s="1154"/>
      <c r="X145" s="1154"/>
      <c r="AC145" s="104"/>
      <c r="AD145" s="104"/>
      <c r="AE145" s="104"/>
      <c r="AF145" s="104"/>
      <c r="AH145" s="104"/>
      <c r="AI145" s="104"/>
      <c r="AJ145" s="104"/>
    </row>
    <row r="146" spans="2:36" x14ac:dyDescent="0.6">
      <c r="B146" s="1151" t="s">
        <v>1902</v>
      </c>
      <c r="R146" s="1154">
        <v>1.2500000000000001E-2</v>
      </c>
      <c r="S146" s="1154">
        <v>7.2499999999999995E-2</v>
      </c>
      <c r="T146" s="1154">
        <v>8.7499999999999994E-2</v>
      </c>
      <c r="U146" s="1154">
        <f>T146</f>
        <v>8.7499999999999994E-2</v>
      </c>
      <c r="W146" s="1154"/>
      <c r="X146" s="1154"/>
      <c r="AC146" s="104"/>
      <c r="AD146" s="104"/>
      <c r="AE146" s="104"/>
      <c r="AF146" s="104"/>
      <c r="AH146" s="104"/>
      <c r="AI146" s="104"/>
      <c r="AJ146" s="104"/>
    </row>
    <row r="147" spans="2:36" x14ac:dyDescent="0.6">
      <c r="B147" s="1151" t="s">
        <v>1903</v>
      </c>
      <c r="R147" s="1154">
        <v>2.5000000000000001E-2</v>
      </c>
      <c r="S147" s="1154">
        <v>8.5000000000000006E-2</v>
      </c>
      <c r="T147" s="1154">
        <v>0.105</v>
      </c>
      <c r="U147" s="1154">
        <f>T147</f>
        <v>0.105</v>
      </c>
      <c r="W147" s="1154"/>
      <c r="X147" s="1154"/>
      <c r="AC147" s="104"/>
      <c r="AD147" s="104"/>
      <c r="AE147" s="104"/>
      <c r="AF147" s="104"/>
      <c r="AH147" s="104"/>
      <c r="AI147" s="104"/>
      <c r="AJ147" s="104"/>
    </row>
    <row r="148" spans="2:36" x14ac:dyDescent="0.6">
      <c r="B148" s="1301" t="s">
        <v>2387</v>
      </c>
      <c r="R148" s="1154"/>
      <c r="S148" s="1154">
        <v>6.0999999999999999E-2</v>
      </c>
      <c r="T148" s="1154"/>
      <c r="U148" s="1154"/>
      <c r="W148" s="1154"/>
      <c r="X148" s="1154"/>
      <c r="AC148" s="104"/>
      <c r="AD148" s="104"/>
      <c r="AE148" s="104"/>
      <c r="AF148" s="104"/>
      <c r="AH148" s="104"/>
      <c r="AI148" s="104"/>
      <c r="AJ148" s="104"/>
    </row>
    <row r="149" spans="2:36" x14ac:dyDescent="0.6">
      <c r="B149" s="40"/>
      <c r="AC149" s="104"/>
      <c r="AD149" s="104"/>
      <c r="AE149" s="104"/>
      <c r="AF149" s="104"/>
      <c r="AH149" s="104"/>
      <c r="AI149" s="104"/>
      <c r="AJ149" s="104"/>
    </row>
    <row r="150" spans="2:36" x14ac:dyDescent="0.6">
      <c r="B150" s="40" t="s">
        <v>1906</v>
      </c>
      <c r="AC150" s="104"/>
      <c r="AD150" s="104"/>
      <c r="AE150" s="104"/>
      <c r="AF150" s="104"/>
      <c r="AH150" s="104"/>
      <c r="AI150" s="104"/>
      <c r="AJ150" s="104"/>
    </row>
    <row r="151" spans="2:36" x14ac:dyDescent="0.6">
      <c r="B151" s="1151" t="str">
        <f>B145</f>
        <v>July '23</v>
      </c>
      <c r="T151" s="43">
        <f ca="1">T141*T145</f>
        <v>1302</v>
      </c>
      <c r="U151" s="43">
        <f ca="1">U141*U145</f>
        <v>1299.7730900798176</v>
      </c>
      <c r="AC151" s="104"/>
      <c r="AD151" s="104"/>
      <c r="AE151" s="104"/>
      <c r="AF151" s="104"/>
      <c r="AH151" s="104"/>
      <c r="AI151" s="104"/>
      <c r="AJ151" s="104"/>
    </row>
    <row r="152" spans="2:36" x14ac:dyDescent="0.6">
      <c r="B152" s="1151" t="str">
        <f>B146</f>
        <v>End-24</v>
      </c>
      <c r="T152" s="43">
        <f>T146*T$141</f>
        <v>1688.2249999999999</v>
      </c>
      <c r="U152" s="43">
        <f>U146*U$141</f>
        <v>1685.3374999999999</v>
      </c>
      <c r="AC152" s="104"/>
      <c r="AD152" s="104"/>
      <c r="AE152" s="104"/>
      <c r="AF152" s="104"/>
      <c r="AH152" s="104"/>
      <c r="AI152" s="104"/>
      <c r="AJ152" s="104"/>
    </row>
    <row r="153" spans="2:36" x14ac:dyDescent="0.6">
      <c r="B153" s="1151" t="str">
        <f>B147</f>
        <v>End-25</v>
      </c>
      <c r="T153" s="43">
        <f>T147*T$141</f>
        <v>2025.87</v>
      </c>
      <c r="U153" s="43">
        <f>U147*U$141</f>
        <v>2022.405</v>
      </c>
      <c r="AC153" s="104"/>
      <c r="AD153" s="104"/>
      <c r="AE153" s="104"/>
      <c r="AF153" s="104"/>
      <c r="AH153" s="104"/>
      <c r="AI153" s="104"/>
      <c r="AJ153" s="104"/>
    </row>
    <row r="154" spans="2:36" x14ac:dyDescent="0.6">
      <c r="B154" s="40"/>
      <c r="AC154" s="104"/>
      <c r="AD154" s="104"/>
      <c r="AE154" s="104"/>
      <c r="AF154" s="104"/>
      <c r="AH154" s="104"/>
      <c r="AI154" s="104"/>
      <c r="AJ154" s="104"/>
    </row>
    <row r="155" spans="2:36" x14ac:dyDescent="0.6">
      <c r="B155" s="40" t="s">
        <v>1905</v>
      </c>
      <c r="AC155" s="104"/>
      <c r="AD155" s="104"/>
      <c r="AE155" s="104"/>
      <c r="AF155" s="104"/>
      <c r="AH155" s="104"/>
      <c r="AI155" s="104"/>
      <c r="AJ155" s="104"/>
    </row>
    <row r="156" spans="2:36" x14ac:dyDescent="0.6">
      <c r="B156" s="1151" t="str">
        <f>B151</f>
        <v>July '23</v>
      </c>
      <c r="T156" s="43">
        <f t="shared" ref="T156:U158" ca="1" si="57">T$134-T151</f>
        <v>825</v>
      </c>
      <c r="U156" s="43">
        <f t="shared" ca="1" si="57"/>
        <v>1329.2269099201824</v>
      </c>
      <c r="AC156" s="104"/>
      <c r="AD156" s="104"/>
      <c r="AE156" s="104"/>
      <c r="AF156" s="104"/>
      <c r="AH156" s="104"/>
      <c r="AI156" s="104"/>
      <c r="AJ156" s="104"/>
    </row>
    <row r="157" spans="2:36" x14ac:dyDescent="0.6">
      <c r="B157" s="1151" t="str">
        <f>B152</f>
        <v>End-24</v>
      </c>
      <c r="T157" s="43">
        <f t="shared" si="57"/>
        <v>438.77500000000009</v>
      </c>
      <c r="U157" s="43">
        <f t="shared" si="57"/>
        <v>943.66250000000014</v>
      </c>
      <c r="AC157" s="104"/>
      <c r="AD157" s="104"/>
      <c r="AE157" s="104"/>
      <c r="AF157" s="104"/>
      <c r="AH157" s="104"/>
      <c r="AI157" s="104"/>
      <c r="AJ157" s="104"/>
    </row>
    <row r="158" spans="2:36" x14ac:dyDescent="0.6">
      <c r="B158" s="1151" t="str">
        <f>B153</f>
        <v>End-25</v>
      </c>
      <c r="T158" s="43">
        <f t="shared" si="57"/>
        <v>101.13000000000011</v>
      </c>
      <c r="U158" s="43">
        <f t="shared" si="57"/>
        <v>606.59500000000003</v>
      </c>
      <c r="AC158" s="104"/>
      <c r="AD158" s="104"/>
      <c r="AE158" s="104"/>
      <c r="AF158" s="104"/>
      <c r="AH158" s="104"/>
      <c r="AI158" s="104"/>
      <c r="AJ158" s="104"/>
    </row>
    <row r="159" spans="2:36" x14ac:dyDescent="0.6">
      <c r="B159" s="40"/>
      <c r="AC159" s="104"/>
      <c r="AD159" s="104"/>
      <c r="AE159" s="104"/>
      <c r="AF159" s="104"/>
      <c r="AH159" s="104"/>
      <c r="AI159" s="104"/>
      <c r="AJ159" s="104"/>
    </row>
    <row r="160" spans="2:36" x14ac:dyDescent="0.6">
      <c r="B160" s="40" t="s">
        <v>1910</v>
      </c>
      <c r="T160" s="344">
        <f>T130/T141</f>
        <v>9.1479216336684974E-2</v>
      </c>
      <c r="U160" s="344">
        <f>U130/U141</f>
        <v>0.11406469030683765</v>
      </c>
      <c r="AC160" s="104"/>
      <c r="AD160" s="104"/>
      <c r="AE160" s="104"/>
      <c r="AF160" s="104"/>
      <c r="AH160" s="104"/>
      <c r="AI160" s="104"/>
      <c r="AJ160" s="104"/>
    </row>
    <row r="161" spans="2:36" x14ac:dyDescent="0.6">
      <c r="B161" s="40" t="s">
        <v>1907</v>
      </c>
      <c r="T161" s="344">
        <f>T132/T$141</f>
        <v>9.8994506064061363E-2</v>
      </c>
      <c r="U161" s="344">
        <f>U132/U$141</f>
        <v>0.12439644878251389</v>
      </c>
      <c r="AC161" s="104"/>
      <c r="AD161" s="104"/>
      <c r="AE161" s="104"/>
      <c r="AF161" s="104"/>
      <c r="AH161" s="104"/>
      <c r="AI161" s="104"/>
      <c r="AJ161" s="104"/>
    </row>
    <row r="162" spans="2:36" x14ac:dyDescent="0.6">
      <c r="B162" s="40" t="s">
        <v>1911</v>
      </c>
      <c r="T162" s="344">
        <f>T134/T141</f>
        <v>0.11024152586296258</v>
      </c>
      <c r="U162" s="344">
        <f>U134/U141</f>
        <v>0.13649343232438607</v>
      </c>
      <c r="AC162" s="104"/>
      <c r="AD162" s="104"/>
      <c r="AE162" s="104"/>
      <c r="AF162" s="104"/>
      <c r="AH162" s="104"/>
      <c r="AI162" s="104"/>
      <c r="AJ162" s="104"/>
    </row>
    <row r="163" spans="2:36" x14ac:dyDescent="0.6">
      <c r="B163" s="40"/>
      <c r="AC163" s="104"/>
      <c r="AD163" s="104"/>
      <c r="AE163" s="104"/>
      <c r="AF163" s="104"/>
      <c r="AH163" s="104"/>
      <c r="AI163" s="104"/>
      <c r="AJ163" s="104"/>
    </row>
    <row r="164" spans="2:36" x14ac:dyDescent="0.6">
      <c r="B164" s="40"/>
      <c r="AC164" s="104"/>
      <c r="AD164" s="104"/>
      <c r="AE164" s="104"/>
      <c r="AF164" s="104"/>
      <c r="AH164" s="104"/>
      <c r="AI164" s="104"/>
      <c r="AJ164" s="104"/>
    </row>
    <row r="165" spans="2:36" x14ac:dyDescent="0.6">
      <c r="B165" s="1150" t="s">
        <v>1119</v>
      </c>
      <c r="AC165" s="104"/>
      <c r="AD165" s="104"/>
      <c r="AE165" s="104"/>
      <c r="AF165" s="104"/>
      <c r="AH165" s="104"/>
      <c r="AI165" s="104"/>
      <c r="AJ165" s="104"/>
    </row>
    <row r="166" spans="2:36" x14ac:dyDescent="0.6">
      <c r="B166" s="40"/>
      <c r="AC166" s="104"/>
      <c r="AD166" s="104"/>
      <c r="AE166" s="104"/>
      <c r="AF166" s="104"/>
      <c r="AH166" s="104"/>
      <c r="AI166" s="104"/>
      <c r="AJ166" s="104"/>
    </row>
    <row r="167" spans="2:36" x14ac:dyDescent="0.6">
      <c r="B167" s="483" t="s">
        <v>1329</v>
      </c>
      <c r="AC167" s="104"/>
      <c r="AD167" s="104"/>
      <c r="AE167" s="104"/>
      <c r="AF167" s="104"/>
      <c r="AH167" s="104"/>
      <c r="AI167" s="104"/>
      <c r="AJ167" s="104"/>
    </row>
    <row r="168" spans="2:36" x14ac:dyDescent="0.6">
      <c r="B168" s="1139" t="s">
        <v>1793</v>
      </c>
      <c r="P168" s="43">
        <v>770</v>
      </c>
      <c r="S168" s="43">
        <v>1232</v>
      </c>
      <c r="AC168" s="104"/>
      <c r="AD168" s="104"/>
      <c r="AE168" s="104"/>
      <c r="AF168" s="104"/>
      <c r="AH168" s="104"/>
      <c r="AI168" s="104"/>
      <c r="AJ168" s="104"/>
    </row>
    <row r="169" spans="2:36" x14ac:dyDescent="0.6">
      <c r="B169" s="1140" t="s">
        <v>1794</v>
      </c>
      <c r="C169" s="84"/>
      <c r="D169" s="343"/>
      <c r="E169" s="343"/>
      <c r="F169" s="343"/>
      <c r="G169" s="343"/>
      <c r="H169" s="343"/>
      <c r="I169" s="343"/>
      <c r="J169" s="343"/>
      <c r="K169" s="343"/>
      <c r="L169" s="343"/>
      <c r="M169" s="343"/>
      <c r="N169" s="343"/>
      <c r="O169" s="343"/>
      <c r="P169" s="343">
        <v>136</v>
      </c>
      <c r="Q169" s="343"/>
      <c r="R169" s="343"/>
      <c r="S169" s="343">
        <v>163</v>
      </c>
      <c r="W169" s="343"/>
      <c r="AC169" s="104"/>
      <c r="AD169" s="104"/>
      <c r="AE169" s="104"/>
      <c r="AF169" s="104"/>
      <c r="AH169" s="104"/>
      <c r="AI169" s="104"/>
      <c r="AJ169" s="104"/>
    </row>
    <row r="170" spans="2:36" x14ac:dyDescent="0.6">
      <c r="B170" s="1138" t="s">
        <v>1789</v>
      </c>
      <c r="P170" s="43">
        <f>P168+P169</f>
        <v>906</v>
      </c>
      <c r="S170" s="43">
        <f>S168+S169</f>
        <v>1395</v>
      </c>
      <c r="AC170" s="104"/>
      <c r="AD170" s="104"/>
      <c r="AE170" s="104"/>
      <c r="AF170" s="104"/>
      <c r="AH170" s="104"/>
      <c r="AI170" s="104"/>
      <c r="AJ170" s="104"/>
    </row>
    <row r="171" spans="2:36" x14ac:dyDescent="0.6">
      <c r="B171" s="1139"/>
      <c r="AC171" s="104"/>
      <c r="AD171" s="104"/>
      <c r="AE171" s="104"/>
      <c r="AF171" s="104"/>
      <c r="AH171" s="104"/>
      <c r="AI171" s="104"/>
      <c r="AJ171" s="104"/>
    </row>
    <row r="172" spans="2:36" x14ac:dyDescent="0.6">
      <c r="B172" s="84" t="s">
        <v>1790</v>
      </c>
      <c r="C172" s="84"/>
      <c r="D172" s="343"/>
      <c r="E172" s="343"/>
      <c r="F172" s="343"/>
      <c r="G172" s="343"/>
      <c r="H172" s="343"/>
      <c r="I172" s="343"/>
      <c r="J172" s="343"/>
      <c r="K172" s="343"/>
      <c r="L172" s="343"/>
      <c r="M172" s="343"/>
      <c r="N172" s="343"/>
      <c r="O172" s="343"/>
      <c r="P172" s="343">
        <v>186</v>
      </c>
      <c r="Q172" s="343"/>
      <c r="R172" s="343"/>
      <c r="S172" s="343">
        <v>220</v>
      </c>
      <c r="W172" s="343"/>
      <c r="AC172" s="104"/>
      <c r="AD172" s="104"/>
      <c r="AE172" s="104"/>
      <c r="AF172" s="104"/>
      <c r="AH172" s="104"/>
      <c r="AI172" s="104"/>
      <c r="AJ172" s="104"/>
    </row>
    <row r="173" spans="2:36" x14ac:dyDescent="0.6">
      <c r="B173" s="40" t="s">
        <v>1791</v>
      </c>
      <c r="C173" s="20"/>
      <c r="D173" s="23"/>
      <c r="E173" s="23"/>
      <c r="F173" s="23"/>
      <c r="G173" s="23"/>
      <c r="H173" s="23"/>
      <c r="I173" s="23"/>
      <c r="J173" s="23"/>
      <c r="K173" s="23"/>
      <c r="L173" s="23"/>
      <c r="M173" s="23"/>
      <c r="N173" s="23"/>
      <c r="O173" s="23"/>
      <c r="P173" s="23">
        <f>P170+P172</f>
        <v>1092</v>
      </c>
      <c r="Q173" s="23"/>
      <c r="R173" s="23"/>
      <c r="S173" s="23">
        <f>S170+S172</f>
        <v>1615</v>
      </c>
      <c r="T173" s="23"/>
      <c r="U173" s="23"/>
      <c r="W173" s="23"/>
      <c r="X173" s="23"/>
      <c r="AC173" s="104"/>
      <c r="AD173" s="104"/>
      <c r="AE173" s="104"/>
      <c r="AF173" s="104"/>
      <c r="AH173" s="104"/>
      <c r="AI173" s="104"/>
      <c r="AJ173" s="104"/>
    </row>
    <row r="174" spans="2:36" x14ac:dyDescent="0.6">
      <c r="AC174" s="104"/>
      <c r="AD174" s="104"/>
      <c r="AE174" s="104"/>
      <c r="AF174" s="104"/>
      <c r="AH174" s="104"/>
      <c r="AI174" s="104"/>
      <c r="AJ174" s="104"/>
    </row>
    <row r="175" spans="2:36" x14ac:dyDescent="0.6">
      <c r="B175" s="20" t="s">
        <v>1332</v>
      </c>
      <c r="AC175" s="104"/>
      <c r="AD175" s="104"/>
      <c r="AE175" s="104"/>
      <c r="AF175" s="104"/>
      <c r="AH175" s="104"/>
      <c r="AI175" s="104"/>
      <c r="AJ175" s="104"/>
    </row>
    <row r="176" spans="2:36" x14ac:dyDescent="0.6">
      <c r="B176" t="s">
        <v>234</v>
      </c>
      <c r="P176" s="43">
        <v>3959</v>
      </c>
      <c r="S176" s="43">
        <v>5970</v>
      </c>
      <c r="AC176" s="104"/>
      <c r="AD176" s="104"/>
      <c r="AE176" s="104"/>
      <c r="AF176" s="104"/>
      <c r="AH176" s="104"/>
      <c r="AI176" s="104"/>
      <c r="AJ176" s="104"/>
    </row>
    <row r="177" spans="2:36" x14ac:dyDescent="0.6">
      <c r="B177" t="s">
        <v>457</v>
      </c>
      <c r="P177" s="43">
        <v>70</v>
      </c>
      <c r="S177" s="43">
        <v>76</v>
      </c>
      <c r="AC177" s="104"/>
      <c r="AD177" s="104"/>
      <c r="AE177" s="104"/>
      <c r="AF177" s="104"/>
      <c r="AH177" s="104"/>
      <c r="AI177" s="104"/>
      <c r="AJ177" s="104"/>
    </row>
    <row r="178" spans="2:36" x14ac:dyDescent="0.6">
      <c r="B178" s="84" t="s">
        <v>1792</v>
      </c>
      <c r="C178" s="84"/>
      <c r="D178" s="343"/>
      <c r="E178" s="343"/>
      <c r="F178" s="343"/>
      <c r="G178" s="343"/>
      <c r="H178" s="343"/>
      <c r="I178" s="343"/>
      <c r="J178" s="343"/>
      <c r="K178" s="343"/>
      <c r="L178" s="343"/>
      <c r="M178" s="343"/>
      <c r="N178" s="343"/>
      <c r="O178" s="343"/>
      <c r="P178" s="343">
        <v>1077</v>
      </c>
      <c r="Q178" s="343"/>
      <c r="R178" s="343"/>
      <c r="S178" s="343">
        <v>1959</v>
      </c>
      <c r="W178" s="343"/>
      <c r="AC178" s="104"/>
      <c r="AD178" s="104"/>
      <c r="AE178" s="104"/>
      <c r="AF178" s="104"/>
      <c r="AH178" s="104"/>
      <c r="AI178" s="104"/>
      <c r="AJ178" s="104"/>
    </row>
    <row r="179" spans="2:36" x14ac:dyDescent="0.6">
      <c r="B179" s="20" t="s">
        <v>353</v>
      </c>
      <c r="C179" s="20"/>
      <c r="D179" s="23"/>
      <c r="E179" s="23"/>
      <c r="F179" s="23"/>
      <c r="G179" s="23"/>
      <c r="H179" s="23"/>
      <c r="I179" s="23"/>
      <c r="J179" s="23"/>
      <c r="K179" s="23"/>
      <c r="L179" s="23"/>
      <c r="M179" s="23"/>
      <c r="N179" s="23"/>
      <c r="O179" s="23"/>
      <c r="P179" s="23">
        <f>SUM(P176:P178)</f>
        <v>5106</v>
      </c>
      <c r="Q179" s="23"/>
      <c r="R179" s="23"/>
      <c r="S179" s="23">
        <f>SUM(S176:S178)</f>
        <v>8005</v>
      </c>
      <c r="T179" s="23"/>
      <c r="U179" s="23"/>
      <c r="W179" s="23"/>
      <c r="X179" s="23"/>
      <c r="AC179" s="104"/>
      <c r="AD179" s="104"/>
      <c r="AE179" s="104"/>
      <c r="AF179" s="104"/>
      <c r="AH179" s="104"/>
      <c r="AI179" s="104"/>
      <c r="AJ179" s="104"/>
    </row>
    <row r="180" spans="2:36" x14ac:dyDescent="0.6">
      <c r="B180" s="20"/>
      <c r="C180" s="20"/>
      <c r="D180" s="23"/>
      <c r="E180" s="23"/>
      <c r="F180" s="23"/>
      <c r="G180" s="23"/>
      <c r="H180" s="23"/>
      <c r="I180" s="23"/>
      <c r="J180" s="23"/>
      <c r="K180" s="23"/>
      <c r="L180" s="23"/>
      <c r="M180" s="23"/>
      <c r="N180" s="23"/>
      <c r="O180" s="23"/>
      <c r="P180" s="23"/>
      <c r="Q180" s="23"/>
      <c r="R180" s="23"/>
      <c r="S180" s="23"/>
      <c r="T180" s="23"/>
      <c r="U180" s="23"/>
      <c r="W180" s="23"/>
      <c r="X180" s="23"/>
      <c r="AC180" s="104"/>
      <c r="AD180" s="104"/>
      <c r="AE180" s="104"/>
      <c r="AF180" s="104"/>
      <c r="AH180" s="104"/>
      <c r="AI180" s="104"/>
      <c r="AJ180" s="104"/>
    </row>
    <row r="181" spans="2:36" x14ac:dyDescent="0.6">
      <c r="B181" t="s">
        <v>1796</v>
      </c>
      <c r="C181" s="20"/>
      <c r="D181" s="23"/>
      <c r="E181" s="23"/>
      <c r="F181" s="23"/>
      <c r="G181" s="23"/>
      <c r="H181" s="23"/>
      <c r="I181" s="23"/>
      <c r="J181" s="23"/>
      <c r="K181" s="23"/>
      <c r="L181" s="23"/>
      <c r="M181" s="23"/>
      <c r="N181" s="23"/>
      <c r="O181" s="23"/>
      <c r="P181" s="1141">
        <v>0.105</v>
      </c>
      <c r="Q181" s="23"/>
      <c r="R181" s="23"/>
      <c r="S181" s="1141">
        <v>0.105</v>
      </c>
      <c r="T181" s="1141"/>
      <c r="U181" s="1141"/>
      <c r="W181" s="23"/>
      <c r="X181" s="23"/>
      <c r="AC181" s="104"/>
      <c r="AD181" s="104"/>
      <c r="AE181" s="104"/>
      <c r="AF181" s="104"/>
      <c r="AH181" s="104"/>
      <c r="AI181" s="104"/>
      <c r="AJ181" s="104"/>
    </row>
    <row r="182" spans="2:36" x14ac:dyDescent="0.6">
      <c r="B182" s="20" t="s">
        <v>1795</v>
      </c>
      <c r="C182" s="20"/>
      <c r="D182" s="23"/>
      <c r="E182" s="23"/>
      <c r="F182" s="23"/>
      <c r="G182" s="23"/>
      <c r="H182" s="23"/>
      <c r="I182" s="23"/>
      <c r="J182" s="23"/>
      <c r="K182" s="23"/>
      <c r="L182" s="23"/>
      <c r="M182" s="23"/>
      <c r="N182" s="23"/>
      <c r="O182" s="23"/>
      <c r="P182" s="23">
        <f>P181*P179</f>
        <v>536.13</v>
      </c>
      <c r="Q182" s="23"/>
      <c r="R182" s="23"/>
      <c r="S182" s="23">
        <f>S181*S179</f>
        <v>840.52499999999998</v>
      </c>
      <c r="T182" s="23"/>
      <c r="U182" s="23"/>
      <c r="W182" s="23"/>
      <c r="X182" s="23"/>
      <c r="AC182" s="104"/>
      <c r="AD182" s="104"/>
      <c r="AE182" s="104"/>
      <c r="AF182" s="104"/>
      <c r="AH182" s="104"/>
      <c r="AI182" s="104"/>
      <c r="AJ182" s="104"/>
    </row>
    <row r="183" spans="2:36" x14ac:dyDescent="0.6">
      <c r="B183" t="s">
        <v>1803</v>
      </c>
      <c r="C183" s="20"/>
      <c r="D183" s="23"/>
      <c r="E183" s="23"/>
      <c r="F183" s="23"/>
      <c r="G183" s="23"/>
      <c r="H183" s="23"/>
      <c r="I183" s="23"/>
      <c r="J183" s="23"/>
      <c r="K183" s="23"/>
      <c r="L183" s="23"/>
      <c r="M183" s="23"/>
      <c r="N183" s="23"/>
      <c r="O183" s="23"/>
      <c r="P183" s="1141">
        <f>P173/P179</f>
        <v>0.21386603995299647</v>
      </c>
      <c r="Q183" s="23"/>
      <c r="R183" s="23"/>
      <c r="S183" s="1141">
        <f>S173/S179</f>
        <v>0.20174890693316677</v>
      </c>
      <c r="T183" s="1141"/>
      <c r="U183" s="1141"/>
      <c r="W183" s="23"/>
      <c r="X183" s="23"/>
      <c r="AC183" s="104"/>
      <c r="AD183" s="104"/>
      <c r="AE183" s="104"/>
      <c r="AF183" s="104"/>
      <c r="AH183" s="104"/>
      <c r="AI183" s="104"/>
      <c r="AJ183" s="104"/>
    </row>
    <row r="184" spans="2:36" x14ac:dyDescent="0.6">
      <c r="B184" t="s">
        <v>1797</v>
      </c>
      <c r="C184" s="20"/>
      <c r="D184" s="23"/>
      <c r="E184" s="23"/>
      <c r="F184" s="23"/>
      <c r="G184" s="23"/>
      <c r="H184" s="23"/>
      <c r="I184" s="23"/>
      <c r="J184" s="23"/>
      <c r="K184" s="23"/>
      <c r="L184" s="23"/>
      <c r="M184" s="23"/>
      <c r="N184" s="23"/>
      <c r="O184" s="23"/>
      <c r="P184" s="23">
        <f>P173-P182</f>
        <v>555.87</v>
      </c>
      <c r="Q184" s="23"/>
      <c r="R184" s="23"/>
      <c r="S184" s="23">
        <f>S173-S182</f>
        <v>774.47500000000002</v>
      </c>
      <c r="T184" s="23"/>
      <c r="U184" s="23"/>
      <c r="W184" s="23"/>
      <c r="X184" s="23"/>
      <c r="AC184" s="104"/>
      <c r="AD184" s="104"/>
      <c r="AE184" s="104"/>
      <c r="AF184" s="104"/>
      <c r="AH184" s="104"/>
      <c r="AI184" s="104"/>
      <c r="AJ184" s="104"/>
    </row>
    <row r="185" spans="2:36" x14ac:dyDescent="0.6">
      <c r="C185" s="20"/>
      <c r="D185" s="23"/>
      <c r="E185" s="23"/>
      <c r="F185" s="23"/>
      <c r="G185" s="23"/>
      <c r="H185" s="23"/>
      <c r="I185" s="23"/>
      <c r="J185" s="23"/>
      <c r="K185" s="23"/>
      <c r="L185" s="23"/>
      <c r="M185" s="23"/>
      <c r="N185" s="23"/>
      <c r="O185" s="23"/>
      <c r="P185" s="23"/>
      <c r="Q185" s="23"/>
      <c r="R185" s="23"/>
      <c r="S185" s="23"/>
      <c r="T185" s="23"/>
      <c r="U185" s="23"/>
      <c r="W185" s="23"/>
      <c r="X185" s="23"/>
      <c r="AC185" s="104"/>
      <c r="AD185" s="104"/>
      <c r="AE185" s="104"/>
      <c r="AF185" s="104"/>
      <c r="AH185" s="104"/>
      <c r="AI185" s="104"/>
      <c r="AJ185" s="104"/>
    </row>
    <row r="186" spans="2:36" x14ac:dyDescent="0.6">
      <c r="B186" s="499" t="s">
        <v>1330</v>
      </c>
      <c r="AC186" s="104"/>
      <c r="AD186" s="104"/>
      <c r="AE186" s="104"/>
      <c r="AF186" s="104"/>
      <c r="AH186" s="104"/>
      <c r="AI186" s="104"/>
      <c r="AJ186" s="104"/>
    </row>
    <row r="187" spans="2:36" x14ac:dyDescent="0.6">
      <c r="B187" t="s">
        <v>1798</v>
      </c>
      <c r="P187" s="43">
        <v>1135</v>
      </c>
      <c r="S187" s="43">
        <v>1704</v>
      </c>
      <c r="AC187" s="104"/>
      <c r="AD187" s="104"/>
      <c r="AE187" s="104"/>
      <c r="AF187" s="104"/>
      <c r="AH187" s="104"/>
      <c r="AI187" s="104"/>
      <c r="AJ187" s="104"/>
    </row>
    <row r="188" spans="2:36" x14ac:dyDescent="0.6">
      <c r="B188" t="s">
        <v>1337</v>
      </c>
      <c r="P188" s="43">
        <v>3923</v>
      </c>
      <c r="S188" s="43">
        <v>4908</v>
      </c>
      <c r="AC188" s="104"/>
      <c r="AD188" s="104"/>
      <c r="AE188" s="104"/>
      <c r="AF188" s="104"/>
      <c r="AH188" s="104"/>
      <c r="AI188" s="104"/>
      <c r="AJ188" s="104"/>
    </row>
    <row r="189" spans="2:36" x14ac:dyDescent="0.6">
      <c r="B189" t="s">
        <v>1799</v>
      </c>
      <c r="P189" s="344">
        <f>P187/P188</f>
        <v>0.28931939841957688</v>
      </c>
      <c r="S189" s="344">
        <f>S187/S188</f>
        <v>0.3471882640586797</v>
      </c>
      <c r="T189" s="344"/>
      <c r="U189" s="344"/>
      <c r="AC189" s="104"/>
      <c r="AD189" s="104"/>
      <c r="AE189" s="104"/>
      <c r="AF189" s="104"/>
      <c r="AH189" s="104"/>
      <c r="AI189" s="104"/>
      <c r="AJ189" s="104"/>
    </row>
    <row r="190" spans="2:36" x14ac:dyDescent="0.6">
      <c r="AC190" s="104"/>
      <c r="AD190" s="104"/>
      <c r="AE190" s="104"/>
      <c r="AF190" s="104"/>
      <c r="AH190" s="104"/>
      <c r="AI190" s="104"/>
      <c r="AJ190" s="104"/>
    </row>
    <row r="191" spans="2:36" x14ac:dyDescent="0.6">
      <c r="B191" s="20" t="s">
        <v>229</v>
      </c>
      <c r="AC191" s="104"/>
      <c r="AD191" s="104"/>
      <c r="AE191" s="104"/>
      <c r="AF191" s="104"/>
      <c r="AH191" s="104"/>
      <c r="AI191" s="104"/>
      <c r="AJ191" s="104"/>
    </row>
    <row r="192" spans="2:36" x14ac:dyDescent="0.6">
      <c r="B192" t="s">
        <v>1800</v>
      </c>
      <c r="P192" s="43">
        <v>470</v>
      </c>
      <c r="S192" s="43">
        <v>468</v>
      </c>
      <c r="T192" s="43">
        <v>418</v>
      </c>
      <c r="AC192" s="104"/>
      <c r="AD192" s="104"/>
      <c r="AE192" s="104"/>
      <c r="AF192" s="104"/>
      <c r="AH192" s="104"/>
      <c r="AI192" s="104"/>
      <c r="AJ192" s="104"/>
    </row>
    <row r="193" spans="2:36" x14ac:dyDescent="0.6">
      <c r="B193" t="s">
        <v>1802</v>
      </c>
      <c r="P193" s="43">
        <f>P192/P194</f>
        <v>959.18367346938783</v>
      </c>
      <c r="S193" s="43">
        <f>S192/S194</f>
        <v>1114.2857142857142</v>
      </c>
      <c r="T193" s="43">
        <f>T192/T194</f>
        <v>1126.6846361185983</v>
      </c>
      <c r="AC193" s="104"/>
      <c r="AD193" s="104"/>
      <c r="AE193" s="104"/>
      <c r="AF193" s="104"/>
      <c r="AH193" s="104"/>
      <c r="AI193" s="104"/>
      <c r="AJ193" s="104"/>
    </row>
    <row r="194" spans="2:36" x14ac:dyDescent="0.6">
      <c r="B194" t="s">
        <v>1799</v>
      </c>
      <c r="P194" s="335">
        <v>0.49</v>
      </c>
      <c r="S194" s="335">
        <v>0.42</v>
      </c>
      <c r="T194" s="335">
        <v>0.371</v>
      </c>
      <c r="U194" s="335"/>
      <c r="AC194" s="104"/>
      <c r="AD194" s="104"/>
      <c r="AE194" s="104"/>
      <c r="AF194" s="104"/>
      <c r="AH194" s="104"/>
      <c r="AI194" s="104"/>
      <c r="AJ194" s="104"/>
    </row>
    <row r="195" spans="2:36" x14ac:dyDescent="0.6">
      <c r="B195" t="s">
        <v>1801</v>
      </c>
      <c r="P195" s="344">
        <v>0.105</v>
      </c>
      <c r="S195" s="344">
        <v>0.105</v>
      </c>
      <c r="T195" s="344">
        <v>0.105</v>
      </c>
      <c r="U195" s="344"/>
      <c r="AC195" s="104"/>
      <c r="AD195" s="104"/>
      <c r="AE195" s="104"/>
      <c r="AF195" s="104"/>
      <c r="AH195" s="104"/>
      <c r="AI195" s="104"/>
      <c r="AJ195" s="104"/>
    </row>
    <row r="196" spans="2:36" x14ac:dyDescent="0.6">
      <c r="AC196" s="104"/>
      <c r="AD196" s="104"/>
      <c r="AE196" s="104"/>
      <c r="AF196" s="104"/>
      <c r="AH196" s="104"/>
      <c r="AI196" s="104"/>
      <c r="AJ196" s="104"/>
    </row>
    <row r="197" spans="2:36" s="101" customFormat="1" ht="15.9" thickBot="1" x14ac:dyDescent="0.65">
      <c r="B197" s="87" t="s">
        <v>174</v>
      </c>
      <c r="C197" s="87"/>
      <c r="D197" s="109"/>
      <c r="E197" s="109"/>
      <c r="F197" s="109"/>
      <c r="G197" s="109"/>
      <c r="H197" s="109"/>
      <c r="I197" s="109"/>
      <c r="J197" s="109"/>
      <c r="K197" s="109"/>
      <c r="L197" s="109"/>
      <c r="M197" s="109"/>
      <c r="N197" s="109"/>
      <c r="O197" s="109"/>
      <c r="P197" s="109"/>
      <c r="AB197"/>
      <c r="AC197" s="105"/>
      <c r="AD197" s="105"/>
      <c r="AE197" s="105"/>
      <c r="AF197" s="105"/>
      <c r="AH197" s="105"/>
      <c r="AI197" s="105"/>
      <c r="AJ197" s="105"/>
    </row>
    <row r="198" spans="2:36" x14ac:dyDescent="0.6">
      <c r="B198" t="s">
        <v>388</v>
      </c>
      <c r="D198" s="126"/>
      <c r="E198" s="126"/>
      <c r="F198" s="274">
        <v>29.7</v>
      </c>
      <c r="G198" s="274">
        <v>33.299999999999997</v>
      </c>
      <c r="H198" s="274">
        <v>37.1</v>
      </c>
      <c r="I198" s="274">
        <v>41.7</v>
      </c>
      <c r="J198" s="275">
        <v>48.1</v>
      </c>
      <c r="K198" s="275">
        <v>53.9</v>
      </c>
      <c r="L198" s="126"/>
      <c r="M198" s="275">
        <v>59.6</v>
      </c>
      <c r="N198" s="275">
        <v>65.3</v>
      </c>
      <c r="O198" s="275">
        <v>70.400000000000006</v>
      </c>
      <c r="P198" s="275">
        <v>74.599999999999994</v>
      </c>
      <c r="Q198"/>
      <c r="R198" s="275">
        <v>79.099999999999994</v>
      </c>
      <c r="S198" s="275">
        <v>83.7</v>
      </c>
      <c r="T198" s="275">
        <v>89.1</v>
      </c>
      <c r="U198" s="275">
        <v>93.9</v>
      </c>
      <c r="V198"/>
      <c r="W198" s="275">
        <v>99.3</v>
      </c>
      <c r="X198" s="275">
        <v>104.5</v>
      </c>
      <c r="Y198" s="775">
        <f>Y199+Y200+Y201</f>
        <v>108.5</v>
      </c>
      <c r="Z198" s="775">
        <f>Z199+Z200+Z201</f>
        <v>113.4023076923077</v>
      </c>
      <c r="AA198"/>
      <c r="AC198" s="104"/>
      <c r="AD198" s="104"/>
      <c r="AE198" s="256">
        <f>J198/F198-1</f>
        <v>0.6195286195286196</v>
      </c>
      <c r="AF198" s="256">
        <f>K198/G198-1</f>
        <v>0.61861861861861867</v>
      </c>
      <c r="AH198" s="256"/>
      <c r="AI198" s="256"/>
      <c r="AJ198" s="256"/>
    </row>
    <row r="199" spans="2:36" x14ac:dyDescent="0.6">
      <c r="B199" s="237" t="s">
        <v>1472</v>
      </c>
      <c r="D199" s="126"/>
      <c r="E199" s="126"/>
      <c r="F199" s="274"/>
      <c r="G199" s="274"/>
      <c r="H199" s="275"/>
      <c r="I199" s="275"/>
      <c r="J199" s="275"/>
      <c r="K199" s="275"/>
      <c r="L199" s="126"/>
      <c r="M199" s="274"/>
      <c r="N199" s="274"/>
      <c r="O199" s="1063">
        <f>O198-O200-O201</f>
        <v>66.961000000000013</v>
      </c>
      <c r="P199" s="1063">
        <f>P198-P200-P201</f>
        <v>70.834999999999994</v>
      </c>
      <c r="Q199"/>
      <c r="R199" s="1063">
        <f>R198-R200-R201</f>
        <v>75.264999999999986</v>
      </c>
      <c r="S199" s="1063">
        <f>S198-S200-S201</f>
        <v>79.400000000000006</v>
      </c>
      <c r="T199" s="1063">
        <f>T198-T200-T201</f>
        <v>84</v>
      </c>
      <c r="U199" s="1063">
        <f>U198-U200-U201</f>
        <v>88.800000000000011</v>
      </c>
      <c r="V199"/>
      <c r="W199" s="1063">
        <f>W198-W200-W201</f>
        <v>91.8</v>
      </c>
      <c r="X199" s="1063">
        <v>95.5</v>
      </c>
      <c r="Y199" s="1300">
        <v>98</v>
      </c>
      <c r="Z199" s="85">
        <f>Drivers!I12</f>
        <v>101.0423076923077</v>
      </c>
      <c r="AA199"/>
      <c r="AC199" s="104"/>
      <c r="AD199" s="104"/>
      <c r="AE199" s="256"/>
      <c r="AF199" s="256"/>
      <c r="AH199" s="256"/>
      <c r="AI199" s="256"/>
      <c r="AJ199" s="256"/>
    </row>
    <row r="200" spans="2:36" x14ac:dyDescent="0.6">
      <c r="B200" s="237" t="s">
        <v>1473</v>
      </c>
      <c r="D200" s="126"/>
      <c r="E200" s="126"/>
      <c r="F200" s="274"/>
      <c r="G200" s="274"/>
      <c r="H200" s="275"/>
      <c r="I200" s="275"/>
      <c r="J200" s="275"/>
      <c r="K200" s="275"/>
      <c r="L200" s="126"/>
      <c r="M200" s="274"/>
      <c r="N200" s="274"/>
      <c r="O200" s="1063">
        <v>3</v>
      </c>
      <c r="P200" s="1063">
        <v>3.2</v>
      </c>
      <c r="Q200"/>
      <c r="R200" s="1063">
        <v>3.2</v>
      </c>
      <c r="S200" s="1063">
        <v>3.6</v>
      </c>
      <c r="T200" s="1063">
        <v>4.3</v>
      </c>
      <c r="U200" s="1063">
        <v>4.3</v>
      </c>
      <c r="V200"/>
      <c r="W200" s="1063">
        <v>6.6</v>
      </c>
      <c r="X200" s="1063">
        <v>7.8</v>
      </c>
      <c r="Y200" s="1300">
        <v>9.5</v>
      </c>
      <c r="Z200" s="85">
        <f>Drivers!I13</f>
        <v>11.219230769230769</v>
      </c>
      <c r="AA200"/>
      <c r="AC200" s="104"/>
      <c r="AD200" s="104"/>
      <c r="AE200" s="256"/>
      <c r="AF200" s="256"/>
      <c r="AH200" s="256"/>
      <c r="AI200" s="256"/>
      <c r="AJ200" s="256"/>
    </row>
    <row r="201" spans="2:36" x14ac:dyDescent="0.6">
      <c r="B201" s="237" t="s">
        <v>1474</v>
      </c>
      <c r="D201" s="126"/>
      <c r="E201" s="126"/>
      <c r="F201" s="274"/>
      <c r="G201" s="274"/>
      <c r="H201" s="275"/>
      <c r="I201" s="275"/>
      <c r="J201" s="275"/>
      <c r="K201" s="275"/>
      <c r="L201" s="126"/>
      <c r="M201" s="274"/>
      <c r="N201" s="274"/>
      <c r="O201" s="1063">
        <v>0.439</v>
      </c>
      <c r="P201" s="1063">
        <v>0.56499999999999995</v>
      </c>
      <c r="Q201"/>
      <c r="R201" s="1063">
        <v>0.63500000000000001</v>
      </c>
      <c r="S201" s="1063">
        <v>0.7</v>
      </c>
      <c r="T201" s="1063">
        <v>0.8</v>
      </c>
      <c r="U201" s="1063">
        <v>0.8</v>
      </c>
      <c r="V201"/>
      <c r="W201" s="1063">
        <v>0.9</v>
      </c>
      <c r="X201" s="1063">
        <v>0.9</v>
      </c>
      <c r="Y201" s="1300">
        <v>1</v>
      </c>
      <c r="Z201" s="85">
        <f>Drivers!I14</f>
        <v>1.140769230769239</v>
      </c>
      <c r="AA201"/>
      <c r="AC201" s="104"/>
      <c r="AD201" s="104"/>
      <c r="AE201" s="256"/>
      <c r="AF201" s="256"/>
      <c r="AH201" s="256"/>
      <c r="AI201" s="256"/>
      <c r="AJ201" s="256"/>
    </row>
    <row r="202" spans="2:36" x14ac:dyDescent="0.6">
      <c r="B202" s="237"/>
      <c r="D202" s="126"/>
      <c r="E202" s="126"/>
      <c r="F202" s="274"/>
      <c r="G202" s="274"/>
      <c r="H202" s="275"/>
      <c r="I202" s="275"/>
      <c r="J202" s="275"/>
      <c r="K202" s="275"/>
      <c r="L202" s="126"/>
      <c r="M202" s="274"/>
      <c r="N202" s="274"/>
      <c r="O202" s="274"/>
      <c r="P202" s="274"/>
      <c r="Q202"/>
      <c r="R202" s="1063"/>
      <c r="S202" s="1063"/>
      <c r="T202" s="1063"/>
      <c r="U202" s="1063"/>
      <c r="V202"/>
      <c r="W202" s="1063"/>
      <c r="X202" s="1063"/>
      <c r="Y202"/>
      <c r="Z202"/>
      <c r="AA202"/>
      <c r="AC202" s="104"/>
      <c r="AD202" s="104"/>
      <c r="AE202" s="256"/>
      <c r="AF202" s="256"/>
      <c r="AH202" s="256"/>
      <c r="AI202" s="256"/>
      <c r="AJ202" s="256"/>
    </row>
    <row r="203" spans="2:36" x14ac:dyDescent="0.6">
      <c r="B203" s="237" t="s">
        <v>1475</v>
      </c>
      <c r="D203" s="126"/>
      <c r="E203" s="126"/>
      <c r="F203" s="274"/>
      <c r="G203" s="274"/>
      <c r="H203" s="275"/>
      <c r="I203" s="275"/>
      <c r="J203" s="275"/>
      <c r="K203" s="275"/>
      <c r="L203" s="126"/>
      <c r="M203" s="274"/>
      <c r="N203" s="274"/>
      <c r="O203" s="274"/>
      <c r="P203" s="274"/>
      <c r="Q203"/>
      <c r="R203" s="1063"/>
      <c r="S203" s="1063"/>
      <c r="T203" s="1063"/>
      <c r="U203" s="1063"/>
      <c r="V203"/>
      <c r="W203" s="1063"/>
      <c r="X203" s="1063"/>
      <c r="Y203"/>
      <c r="Z203"/>
      <c r="AA203"/>
      <c r="AC203" s="104"/>
      <c r="AD203" s="104"/>
      <c r="AE203" s="256"/>
      <c r="AF203" s="256"/>
      <c r="AH203" s="256"/>
      <c r="AI203" s="256"/>
      <c r="AJ203" s="256"/>
    </row>
    <row r="204" spans="2:36" x14ac:dyDescent="0.6">
      <c r="B204" s="237" t="str">
        <f>B199</f>
        <v xml:space="preserve"> - Brazil</v>
      </c>
      <c r="D204" s="126"/>
      <c r="E204" s="126"/>
      <c r="F204" s="274"/>
      <c r="G204" s="274"/>
      <c r="H204" s="275"/>
      <c r="I204" s="275"/>
      <c r="J204" s="275"/>
      <c r="K204" s="275"/>
      <c r="L204" s="126"/>
      <c r="M204" s="274"/>
      <c r="N204" s="274"/>
      <c r="O204" s="274"/>
      <c r="P204" s="274"/>
      <c r="Q204"/>
      <c r="R204" s="1063"/>
      <c r="S204" s="1063"/>
      <c r="T204" s="1063"/>
      <c r="U204" s="1063"/>
      <c r="V204"/>
      <c r="W204" s="1063"/>
      <c r="X204" s="1063"/>
      <c r="Y204"/>
      <c r="Z204"/>
      <c r="AA204"/>
      <c r="AC204" s="104"/>
      <c r="AD204" s="104"/>
      <c r="AE204" s="256"/>
      <c r="AF204" s="256"/>
      <c r="AH204" s="256"/>
      <c r="AI204" s="256"/>
      <c r="AJ204" s="256"/>
    </row>
    <row r="205" spans="2:36" x14ac:dyDescent="0.6">
      <c r="B205" s="237" t="str">
        <f>B200</f>
        <v xml:space="preserve"> - Mexico</v>
      </c>
      <c r="D205" s="126"/>
      <c r="E205" s="126"/>
      <c r="F205" s="274"/>
      <c r="G205" s="274"/>
      <c r="H205" s="275"/>
      <c r="I205" s="275"/>
      <c r="J205" s="275"/>
      <c r="K205" s="275"/>
      <c r="L205" s="126"/>
      <c r="M205" s="274"/>
      <c r="N205" s="274"/>
      <c r="O205" s="274"/>
      <c r="P205" s="274"/>
      <c r="Q205"/>
      <c r="R205" s="1063"/>
      <c r="S205" s="1063"/>
      <c r="T205" s="1063"/>
      <c r="U205" s="1063"/>
      <c r="V205"/>
      <c r="W205" s="1063"/>
      <c r="X205" s="1063"/>
      <c r="Y205"/>
      <c r="Z205"/>
      <c r="AA205"/>
      <c r="AC205" s="104"/>
      <c r="AD205" s="104"/>
      <c r="AE205" s="256"/>
      <c r="AF205" s="256"/>
      <c r="AH205" s="256"/>
      <c r="AI205" s="256"/>
      <c r="AJ205" s="256"/>
    </row>
    <row r="206" spans="2:36" x14ac:dyDescent="0.6">
      <c r="B206" s="237" t="str">
        <f>B201</f>
        <v xml:space="preserve"> - Colombia</v>
      </c>
      <c r="D206" s="126"/>
      <c r="E206" s="126"/>
      <c r="F206" s="274"/>
      <c r="G206" s="274"/>
      <c r="H206" s="275"/>
      <c r="I206" s="275"/>
      <c r="J206" s="275"/>
      <c r="K206" s="275"/>
      <c r="L206" s="126"/>
      <c r="M206" s="274"/>
      <c r="N206" s="274"/>
      <c r="O206" s="274"/>
      <c r="P206" s="274"/>
      <c r="Q206"/>
      <c r="R206" s="1063"/>
      <c r="S206" s="1063"/>
      <c r="T206" s="1063"/>
      <c r="U206" s="1063"/>
      <c r="V206"/>
      <c r="W206" s="1063"/>
      <c r="X206" s="1063"/>
      <c r="Y206"/>
      <c r="Z206"/>
      <c r="AA206"/>
      <c r="AC206" s="104"/>
      <c r="AD206" s="104"/>
      <c r="AE206" s="256"/>
      <c r="AF206" s="256"/>
      <c r="AH206" s="256"/>
      <c r="AI206" s="256"/>
      <c r="AJ206" s="256"/>
    </row>
    <row r="207" spans="2:36" x14ac:dyDescent="0.6">
      <c r="B207" s="237"/>
      <c r="D207" s="126"/>
      <c r="E207" s="126"/>
      <c r="F207" s="274"/>
      <c r="G207" s="274"/>
      <c r="H207" s="275"/>
      <c r="I207" s="275"/>
      <c r="J207" s="275"/>
      <c r="K207" s="275"/>
      <c r="L207" s="126"/>
      <c r="M207" s="274"/>
      <c r="N207" s="274"/>
      <c r="O207" s="274"/>
      <c r="P207" s="274"/>
      <c r="Q207"/>
      <c r="R207" s="1063"/>
      <c r="S207" s="1063"/>
      <c r="T207" s="1063"/>
      <c r="U207" s="1063"/>
      <c r="V207"/>
      <c r="W207" s="1063"/>
      <c r="X207" s="1063"/>
      <c r="Y207"/>
      <c r="Z207"/>
      <c r="AA207"/>
      <c r="AC207" s="104"/>
      <c r="AD207" s="104"/>
      <c r="AE207" s="256"/>
      <c r="AF207" s="256"/>
      <c r="AH207" s="256"/>
      <c r="AI207" s="256"/>
      <c r="AJ207" s="256"/>
    </row>
    <row r="208" spans="2:36" x14ac:dyDescent="0.6">
      <c r="B208" t="s">
        <v>387</v>
      </c>
      <c r="D208" s="126"/>
      <c r="E208" s="126"/>
      <c r="F208" s="274">
        <v>18.600000000000001</v>
      </c>
      <c r="G208" s="274">
        <v>21.8</v>
      </c>
      <c r="H208" s="275">
        <f>M208/1.82</f>
        <v>25.549450549450547</v>
      </c>
      <c r="I208" s="275">
        <f>N208/1.75</f>
        <v>29.885714285714283</v>
      </c>
      <c r="J208" s="275">
        <v>35.200000000000003</v>
      </c>
      <c r="K208" s="275">
        <v>39.9</v>
      </c>
      <c r="L208" s="126"/>
      <c r="M208" s="274">
        <v>46.5</v>
      </c>
      <c r="N208" s="274">
        <v>52.3</v>
      </c>
      <c r="O208" s="274">
        <v>57.4</v>
      </c>
      <c r="P208" s="274">
        <v>61.2</v>
      </c>
      <c r="Q208" s="775">
        <f>P208</f>
        <v>61.2</v>
      </c>
      <c r="R208" s="1063">
        <v>64.900000000000006</v>
      </c>
      <c r="S208" s="1063">
        <v>68.8</v>
      </c>
      <c r="T208" s="1063">
        <v>73.8</v>
      </c>
      <c r="U208" s="775">
        <v>78</v>
      </c>
      <c r="V208" s="775">
        <f>U208</f>
        <v>78</v>
      </c>
      <c r="W208" s="1063">
        <v>82.6</v>
      </c>
      <c r="X208" s="1063">
        <v>87.2</v>
      </c>
      <c r="Y208" s="1063">
        <f>Y210*Y198</f>
        <v>90.537799043062194</v>
      </c>
      <c r="Z208" s="1063">
        <f>Z210*Z198</f>
        <v>94.62852852410748</v>
      </c>
      <c r="AA208"/>
      <c r="AC208" s="104"/>
      <c r="AD208" s="104"/>
      <c r="AE208" s="256">
        <f>J208/F208-1</f>
        <v>0.89247311827956999</v>
      </c>
      <c r="AF208" s="256">
        <f>K208/G208-1</f>
        <v>0.83027522935779796</v>
      </c>
      <c r="AH208" s="256"/>
      <c r="AI208" s="256"/>
      <c r="AJ208" s="256"/>
    </row>
    <row r="209" spans="2:36" x14ac:dyDescent="0.6">
      <c r="B209" t="s">
        <v>1326</v>
      </c>
      <c r="D209" s="126"/>
      <c r="E209" s="126"/>
      <c r="F209" s="274"/>
      <c r="G209" s="274"/>
      <c r="H209" s="274">
        <f>H208-F208</f>
        <v>6.9494505494505461</v>
      </c>
      <c r="I209" s="274">
        <f>I208-H208</f>
        <v>4.3362637362637351</v>
      </c>
      <c r="J209" s="274">
        <f>J208-I208</f>
        <v>5.3142857142857203</v>
      </c>
      <c r="K209" s="274">
        <f>K208-J208</f>
        <v>4.6999999999999957</v>
      </c>
      <c r="L209" s="126"/>
      <c r="M209" s="274">
        <f>M208-K208</f>
        <v>6.6000000000000014</v>
      </c>
      <c r="N209" s="274">
        <f>N208-M208</f>
        <v>5.7999999999999972</v>
      </c>
      <c r="O209" s="274">
        <f>O208-N208</f>
        <v>5.1000000000000014</v>
      </c>
      <c r="P209" s="274">
        <f>P208-O208</f>
        <v>3.8000000000000043</v>
      </c>
      <c r="Q209"/>
      <c r="R209" s="274">
        <f>R208-P208</f>
        <v>3.7000000000000028</v>
      </c>
      <c r="S209" s="274">
        <f>S208-R208</f>
        <v>3.8999999999999915</v>
      </c>
      <c r="T209" s="274">
        <f>T208-S208</f>
        <v>5</v>
      </c>
      <c r="U209" s="274">
        <f>U208-T208</f>
        <v>4.2000000000000028</v>
      </c>
      <c r="V209"/>
      <c r="W209" s="274">
        <f>W208-U208</f>
        <v>4.5999999999999943</v>
      </c>
      <c r="X209" s="274">
        <f>X208-W208</f>
        <v>4.6000000000000085</v>
      </c>
      <c r="Y209" s="274">
        <f>Y208-X208</f>
        <v>3.3377990430621907</v>
      </c>
      <c r="Z209" s="274">
        <f>Z208-Y208</f>
        <v>4.0907294810452868</v>
      </c>
      <c r="AA209"/>
      <c r="AC209" s="104"/>
      <c r="AD209" s="104"/>
      <c r="AE209" s="256"/>
      <c r="AF209" s="256"/>
      <c r="AH209" s="256"/>
      <c r="AI209" s="256"/>
      <c r="AJ209" s="256"/>
    </row>
    <row r="210" spans="2:36" x14ac:dyDescent="0.6">
      <c r="B210" t="s">
        <v>1476</v>
      </c>
      <c r="D210" s="126"/>
      <c r="E210" s="126"/>
      <c r="F210" s="1066">
        <f t="shared" ref="F210:K210" si="58">F208/F198</f>
        <v>0.6262626262626263</v>
      </c>
      <c r="G210" s="1066">
        <f t="shared" si="58"/>
        <v>0.65465465465465478</v>
      </c>
      <c r="H210" s="1066">
        <f t="shared" si="58"/>
        <v>0.68866443529516297</v>
      </c>
      <c r="I210" s="1066">
        <f t="shared" si="58"/>
        <v>0.71668379582048636</v>
      </c>
      <c r="J210" s="1066">
        <f t="shared" si="58"/>
        <v>0.73180873180873185</v>
      </c>
      <c r="K210" s="1066">
        <f t="shared" si="58"/>
        <v>0.74025974025974028</v>
      </c>
      <c r="L210" s="126"/>
      <c r="M210" s="1066">
        <f>M208/M198</f>
        <v>0.78020134228187921</v>
      </c>
      <c r="N210" s="1066">
        <f>N208/N198</f>
        <v>0.80091883614088821</v>
      </c>
      <c r="O210" s="1066">
        <f>O208/O198</f>
        <v>0.81534090909090895</v>
      </c>
      <c r="P210" s="1066">
        <f>P208/P198</f>
        <v>0.82037533512064353</v>
      </c>
      <c r="Q210"/>
      <c r="R210" s="1066">
        <f>R208/R198</f>
        <v>0.82048040455120119</v>
      </c>
      <c r="S210" s="1066">
        <f>S208/S198</f>
        <v>0.82198327359617673</v>
      </c>
      <c r="T210" s="1066">
        <f>T208/T198</f>
        <v>0.82828282828282829</v>
      </c>
      <c r="U210" s="1066">
        <f>U208/U198</f>
        <v>0.83067092651757179</v>
      </c>
      <c r="V210"/>
      <c r="W210" s="1066">
        <f>W208/W198</f>
        <v>0.83182275931520644</v>
      </c>
      <c r="X210" s="1066">
        <f>X208/X198</f>
        <v>0.83444976076555022</v>
      </c>
      <c r="Y210" s="1066">
        <f>X210</f>
        <v>0.83444976076555022</v>
      </c>
      <c r="Z210" s="1066">
        <f>Y210</f>
        <v>0.83444976076555022</v>
      </c>
      <c r="AA210"/>
      <c r="AC210" s="104"/>
      <c r="AD210" s="104"/>
      <c r="AE210" s="256"/>
      <c r="AF210" s="256"/>
      <c r="AH210" s="256"/>
      <c r="AI210" s="256"/>
      <c r="AJ210" s="256"/>
    </row>
    <row r="211" spans="2:36" x14ac:dyDescent="0.6">
      <c r="D211" s="126"/>
      <c r="E211" s="126"/>
      <c r="F211" s="274"/>
      <c r="G211" s="274"/>
      <c r="H211" s="275"/>
      <c r="I211" s="275"/>
      <c r="J211" s="275"/>
      <c r="K211" s="275"/>
      <c r="L211" s="126"/>
      <c r="M211" s="274"/>
      <c r="N211" s="274"/>
      <c r="O211" s="274"/>
      <c r="P211" s="274"/>
      <c r="Q211"/>
      <c r="R211"/>
      <c r="S211"/>
      <c r="T211"/>
      <c r="U211"/>
      <c r="V211"/>
      <c r="W211"/>
      <c r="X211"/>
      <c r="Y211"/>
      <c r="Z211"/>
      <c r="AA211"/>
      <c r="AC211" s="104"/>
      <c r="AD211" s="104"/>
      <c r="AE211" s="256"/>
      <c r="AF211" s="256"/>
      <c r="AH211" s="256"/>
      <c r="AI211" s="256"/>
      <c r="AJ211" s="256"/>
    </row>
    <row r="212" spans="2:36" x14ac:dyDescent="0.6">
      <c r="B212" t="s">
        <v>732</v>
      </c>
      <c r="D212" s="126"/>
      <c r="E212" s="126"/>
      <c r="F212" s="274">
        <f>F6/AVERAGE(E208,F208)/3</f>
        <v>2.7974910394265233</v>
      </c>
      <c r="G212" s="274">
        <f>G6/AVERAGE(F208,G208)/3</f>
        <v>3.3432343234323429</v>
      </c>
      <c r="H212" s="274">
        <f>H6/AVERAGE(G208,H208)/3</f>
        <v>3.4495296447580142</v>
      </c>
      <c r="I212" s="274">
        <f>I6/AVERAGE(H208,I208)/3</f>
        <v>4.0419590585312362</v>
      </c>
      <c r="J212" s="275">
        <f>J6/AVERAGE(I208,J208)/3</f>
        <v>4.9258121158911319</v>
      </c>
      <c r="K212" s="275">
        <v>5.6</v>
      </c>
      <c r="L212" s="126"/>
      <c r="M212" s="275">
        <v>6.7</v>
      </c>
      <c r="N212" s="275">
        <v>7.8</v>
      </c>
      <c r="O212" s="275">
        <v>7.9</v>
      </c>
      <c r="P212" s="275">
        <v>8.1999999999999993</v>
      </c>
      <c r="Q212"/>
      <c r="R212" s="275">
        <v>8.6</v>
      </c>
      <c r="S212" s="275">
        <v>9.3000000000000007</v>
      </c>
      <c r="T212" s="275">
        <v>10</v>
      </c>
      <c r="U212" s="275">
        <v>10.6</v>
      </c>
      <c r="V212"/>
      <c r="W212" s="275"/>
      <c r="X212" s="275"/>
      <c r="Y212"/>
      <c r="Z212"/>
      <c r="AA212"/>
      <c r="AC212" s="104"/>
      <c r="AD212" s="104"/>
      <c r="AE212" s="256"/>
      <c r="AF212" s="256"/>
      <c r="AH212" s="256"/>
      <c r="AI212" s="256"/>
      <c r="AJ212" s="256"/>
    </row>
    <row r="213" spans="2:36" x14ac:dyDescent="0.6">
      <c r="B213" t="s">
        <v>733</v>
      </c>
      <c r="D213" s="126"/>
      <c r="E213" s="126"/>
      <c r="F213" s="274"/>
      <c r="G213" s="274"/>
      <c r="H213" s="274"/>
      <c r="I213" s="274"/>
      <c r="J213" s="274"/>
      <c r="K213" s="274">
        <f>K6/AVERAGE(J208,K208)/3</f>
        <v>5.6452729693741688</v>
      </c>
      <c r="L213" s="126"/>
      <c r="M213" s="274">
        <f>M6/AVERAGE(K208,M208)/3</f>
        <v>6.7690354938271602</v>
      </c>
      <c r="N213" s="274">
        <f>N6/AVERAGE(M208,N208)/3</f>
        <v>7.8108029689608651</v>
      </c>
      <c r="O213" s="274">
        <f>O6/AVERAGE(N208,O208)/3</f>
        <v>7.9422667882102722</v>
      </c>
      <c r="P213" s="274">
        <f>P6/AVERAGE(O208,P208)/3</f>
        <v>8.1521753794266445</v>
      </c>
      <c r="Q213"/>
      <c r="R213" s="274">
        <f>R6/AVERAGE(P208,R208)/3</f>
        <v>8.5564578376949498</v>
      </c>
      <c r="S213" s="274">
        <f>S6/AVERAGE(R208,S208)/3</f>
        <v>9.3173772126651713</v>
      </c>
      <c r="T213" s="274">
        <f>T6/AVERAGE(S208,T208)/3</f>
        <v>9.9895184665731644</v>
      </c>
      <c r="U213" s="274">
        <f>U6/AVERAGE(T208,U208)/3</f>
        <v>10.583662714097496</v>
      </c>
      <c r="V213"/>
      <c r="W213" s="274"/>
      <c r="X213" s="274"/>
      <c r="Y213"/>
      <c r="Z213"/>
      <c r="AA213"/>
      <c r="AC213" s="104"/>
      <c r="AD213" s="104"/>
      <c r="AE213" s="256"/>
      <c r="AF213" s="256"/>
      <c r="AH213" s="256"/>
      <c r="AI213" s="256"/>
      <c r="AJ213" s="256"/>
    </row>
    <row r="214" spans="2:36" x14ac:dyDescent="0.6">
      <c r="B214" t="s">
        <v>391</v>
      </c>
      <c r="D214" s="126"/>
      <c r="E214" s="126"/>
      <c r="F214" s="274">
        <f t="shared" ref="F214:K214" si="59">F50*F212</f>
        <v>15.04764496035625</v>
      </c>
      <c r="G214" s="274">
        <f t="shared" si="59"/>
        <v>18.050370322032204</v>
      </c>
      <c r="H214" s="274">
        <f t="shared" si="59"/>
        <v>18.895628672232785</v>
      </c>
      <c r="I214" s="274">
        <f t="shared" si="59"/>
        <v>21.409380338844198</v>
      </c>
      <c r="J214" s="274">
        <f t="shared" si="59"/>
        <v>25.768871113017799</v>
      </c>
      <c r="K214" s="274">
        <f t="shared" si="59"/>
        <v>31.278358787878783</v>
      </c>
      <c r="L214" s="126"/>
      <c r="M214" s="274">
        <f>M50*M212</f>
        <v>35.028517384615377</v>
      </c>
      <c r="N214" s="274">
        <f>N50*N212</f>
        <v>38.384352000000014</v>
      </c>
      <c r="O214" s="274">
        <f>O50*O212</f>
        <v>41.446871212121216</v>
      </c>
      <c r="P214" s="274">
        <f>P50*P212</f>
        <v>43.131999999999998</v>
      </c>
      <c r="Q214"/>
      <c r="R214" s="274">
        <f>R50*R212</f>
        <v>44.634</v>
      </c>
      <c r="S214" s="274">
        <f>S50*S212</f>
        <v>46.035000000000004</v>
      </c>
      <c r="T214" s="274">
        <f>T50*T212</f>
        <v>48.9</v>
      </c>
      <c r="U214" s="274">
        <f>U50*U212</f>
        <v>52.47</v>
      </c>
      <c r="V214"/>
      <c r="W214" s="274"/>
      <c r="X214" s="274"/>
      <c r="Y214"/>
      <c r="Z214"/>
      <c r="AA214"/>
      <c r="AC214" s="104"/>
      <c r="AD214" s="104"/>
      <c r="AE214" s="256"/>
      <c r="AF214" s="256"/>
      <c r="AH214" s="256"/>
      <c r="AI214" s="256"/>
      <c r="AJ214" s="256"/>
    </row>
    <row r="215" spans="2:36" x14ac:dyDescent="0.6">
      <c r="Q215" s="345" t="s">
        <v>575</v>
      </c>
      <c r="R215" s="345"/>
      <c r="S215" s="345"/>
      <c r="T215" s="345"/>
      <c r="U215" s="345"/>
      <c r="W215" s="345"/>
      <c r="X215" s="345"/>
    </row>
    <row r="216" spans="2:36" x14ac:dyDescent="0.6">
      <c r="D216" s="110"/>
      <c r="E216" s="110">
        <v>0.375</v>
      </c>
      <c r="F216" s="110">
        <v>0.40300000000000002</v>
      </c>
      <c r="G216" s="110">
        <v>0.41899999999999998</v>
      </c>
      <c r="H216" s="110">
        <v>0.41799999999999998</v>
      </c>
      <c r="I216" s="110">
        <v>0.47</v>
      </c>
      <c r="J216" s="110">
        <v>0.47899999999999998</v>
      </c>
      <c r="K216" s="110"/>
      <c r="L216" s="110"/>
      <c r="M216" s="110"/>
      <c r="N216" s="110"/>
      <c r="O216" s="110"/>
      <c r="P216" s="110"/>
      <c r="Q216" s="110"/>
      <c r="R216" s="110"/>
      <c r="S216" s="110"/>
      <c r="T216" s="110"/>
      <c r="U216" s="110"/>
      <c r="V216" s="362" t="s">
        <v>575</v>
      </c>
      <c r="W216" s="110"/>
      <c r="X216" s="110"/>
      <c r="Y216" s="110"/>
      <c r="Z216" s="110"/>
      <c r="AA216" s="362" t="s">
        <v>575</v>
      </c>
      <c r="AB216" s="111"/>
      <c r="AC216" s="104"/>
      <c r="AD216" s="104"/>
      <c r="AE216" s="104"/>
      <c r="AF216" s="104"/>
      <c r="AH216" s="104"/>
      <c r="AI216" s="104"/>
      <c r="AJ216" s="104"/>
    </row>
    <row r="217" spans="2:36" x14ac:dyDescent="0.6">
      <c r="M217" s="280">
        <f>M218/L218-1</f>
        <v>0.32227449287149956</v>
      </c>
      <c r="N217" s="280"/>
      <c r="O217" s="280"/>
      <c r="W217" s="43" t="s">
        <v>575</v>
      </c>
      <c r="AC217" s="104"/>
      <c r="AD217" s="104"/>
      <c r="AE217" s="104"/>
      <c r="AF217" s="104"/>
      <c r="AH217" s="104"/>
      <c r="AI217" s="104"/>
      <c r="AJ217" s="104"/>
    </row>
    <row r="218" spans="2:36" x14ac:dyDescent="0.6">
      <c r="B218" s="363" t="s">
        <v>574</v>
      </c>
      <c r="C218" s="363"/>
      <c r="D218" s="364"/>
      <c r="E218" s="364"/>
      <c r="F218" s="364"/>
      <c r="G218" s="365">
        <f>Analysis!H359</f>
        <v>3083.6</v>
      </c>
      <c r="H218" s="488">
        <v>3600</v>
      </c>
      <c r="I218" s="488">
        <v>4200</v>
      </c>
      <c r="J218" s="365">
        <f>Analysis!E359</f>
        <v>4854.2</v>
      </c>
      <c r="K218" s="488">
        <v>5975</v>
      </c>
      <c r="L218" s="365">
        <f>Master!F193+Master!F194</f>
        <v>5975.3099999999995</v>
      </c>
      <c r="M218" s="488">
        <f>6234+1667</f>
        <v>7901</v>
      </c>
      <c r="N218" s="488">
        <v>8154</v>
      </c>
      <c r="O218" s="488">
        <f>O236</f>
        <v>8591.0529999999999</v>
      </c>
      <c r="P218" s="488">
        <f>P236</f>
        <v>9906</v>
      </c>
      <c r="Q218" s="365">
        <f>Master!G193+Master!G194</f>
        <v>9906</v>
      </c>
      <c r="R218" s="488">
        <f>R236</f>
        <v>11178</v>
      </c>
      <c r="S218" s="488">
        <f>S236</f>
        <v>12821</v>
      </c>
      <c r="T218" s="488">
        <f>T236</f>
        <v>13185.477999999999</v>
      </c>
      <c r="U218" s="488">
        <v>15616</v>
      </c>
      <c r="V218" s="365">
        <f>Master!H193+Master!H194+Master!H195</f>
        <v>15616</v>
      </c>
      <c r="W218" s="488">
        <f>W236</f>
        <v>16660.7</v>
      </c>
      <c r="X218" s="488">
        <f>X236</f>
        <v>16035</v>
      </c>
      <c r="Y218" s="365">
        <f>Y236</f>
        <v>17633.754545454543</v>
      </c>
      <c r="Z218" s="365">
        <f>AA218</f>
        <v>19091.761323170944</v>
      </c>
      <c r="AA218" s="365">
        <f>Master!I193+Master!I194+Master!I195</f>
        <v>19091.761323170944</v>
      </c>
      <c r="AC218" s="104"/>
      <c r="AD218" s="104"/>
      <c r="AE218" s="104"/>
      <c r="AF218" s="104"/>
      <c r="AH218" s="104"/>
      <c r="AI218" s="104"/>
      <c r="AJ218" s="104"/>
    </row>
    <row r="219" spans="2:36" x14ac:dyDescent="0.6">
      <c r="B219" t="s">
        <v>2300</v>
      </c>
      <c r="G219" s="344"/>
      <c r="H219" s="344">
        <f>H38*4/AVERAGE(G218,H218)</f>
        <v>-8.5343228200371046E-2</v>
      </c>
      <c r="I219" s="344">
        <f>I38*4/AVERAGE(H218,I218)</f>
        <v>-8.4820512820512825E-2</v>
      </c>
      <c r="J219" s="344">
        <f>J38*4/AVERAGE(I218,J218)</f>
        <v>-0.1122131165646882</v>
      </c>
      <c r="K219" s="344">
        <f>K38*4/AVERAGE(J218,K218)</f>
        <v>-0.14747829941269899</v>
      </c>
      <c r="L219" s="347">
        <f>(L38)/(AVERAGE(G218,L218))</f>
        <v>-0.10611497409732518</v>
      </c>
      <c r="M219" s="344">
        <f>M38*4/AVERAGE(L218,M218)</f>
        <v>-0.15895983874675615</v>
      </c>
      <c r="N219" s="344">
        <f>N38*4/AVERAGE(M218,N218)</f>
        <v>-0.16866620990345688</v>
      </c>
      <c r="O219" s="344">
        <f>O38*4/AVERAGE(N218,O218)</f>
        <v>-0.1793962670646668</v>
      </c>
      <c r="P219" s="344">
        <f>P38*4/AVERAGE(O218,P218)</f>
        <v>-0.17956849666809091</v>
      </c>
      <c r="Q219" s="347">
        <f>(Q38)/(AVERAGE(L218,Q218))</f>
        <v>-0.17693754482470275</v>
      </c>
      <c r="R219" s="344">
        <f>R38*4/AVERAGE(P218,R218)</f>
        <v>-0.17985202048947069</v>
      </c>
      <c r="S219" s="344">
        <f>S38*4/AVERAGE(R218,S218)</f>
        <v>-0.19680820034168089</v>
      </c>
      <c r="T219" s="344">
        <f>T38*4/AVERAGE(S218,T218)</f>
        <v>-0.19287502136967566</v>
      </c>
      <c r="U219" s="344">
        <f>U38*4/AVERAGE(T218,U218)</f>
        <v>-0.16471376920309438</v>
      </c>
      <c r="V219" s="347">
        <f>(V38)/(AVERAGE(Q218,V218))</f>
        <v>-0.17906120210014889</v>
      </c>
      <c r="W219" s="344">
        <f>W38*4/AVERAGE(V218,W218)</f>
        <v>-0.20596901170193979</v>
      </c>
      <c r="X219" s="344"/>
      <c r="Y219" s="344">
        <f>Y38*4/AVERAGE(X218,Y218)</f>
        <v>-0.20773660630061569</v>
      </c>
      <c r="Z219" s="344">
        <f>Z38*4/AVERAGE(Y218,Z218)</f>
        <v>-0.20312567477729593</v>
      </c>
      <c r="AA219" s="347">
        <f>(AA38)/(AVERAGE(V218,AA218))</f>
        <v>-0.1957928642163185</v>
      </c>
    </row>
    <row r="220" spans="2:36" x14ac:dyDescent="0.6">
      <c r="G220" s="344"/>
      <c r="H220" s="344"/>
      <c r="I220" s="344"/>
      <c r="J220" s="344"/>
      <c r="K220" s="344"/>
      <c r="L220" s="344"/>
      <c r="M220" s="344"/>
      <c r="N220" s="344"/>
      <c r="O220" s="344"/>
      <c r="P220" s="344"/>
      <c r="Q220" s="344"/>
      <c r="R220" s="344"/>
      <c r="S220" s="344"/>
      <c r="T220" s="344"/>
      <c r="U220" s="344"/>
      <c r="V220" s="344"/>
      <c r="W220" s="344"/>
      <c r="X220" s="344"/>
      <c r="Y220" s="344"/>
      <c r="Z220" s="344"/>
      <c r="AA220" s="344"/>
    </row>
    <row r="221" spans="2:36" x14ac:dyDescent="0.6">
      <c r="B221" t="s">
        <v>1153</v>
      </c>
      <c r="F221" s="51"/>
      <c r="G221" s="51"/>
      <c r="H221" s="51"/>
      <c r="I221" s="49">
        <v>1000</v>
      </c>
      <c r="J221" s="49">
        <v>1400</v>
      </c>
      <c r="K221" s="49">
        <v>2000</v>
      </c>
      <c r="L221" s="344"/>
      <c r="M221" s="49">
        <v>3100</v>
      </c>
      <c r="N221" s="49">
        <v>3200</v>
      </c>
      <c r="O221" s="49">
        <v>3500</v>
      </c>
      <c r="P221" s="49">
        <v>4000</v>
      </c>
      <c r="Q221" s="344"/>
      <c r="R221" s="49">
        <v>5200</v>
      </c>
      <c r="S221" s="49">
        <v>6300</v>
      </c>
      <c r="T221" s="49">
        <v>6700</v>
      </c>
      <c r="U221" s="49">
        <v>8200</v>
      </c>
      <c r="V221" s="344"/>
      <c r="W221" s="49">
        <v>9700</v>
      </c>
      <c r="X221" s="49">
        <v>9800</v>
      </c>
      <c r="Y221" s="344"/>
      <c r="Z221" s="344"/>
      <c r="AA221" s="344"/>
    </row>
    <row r="222" spans="2:36" x14ac:dyDescent="0.6">
      <c r="B222" t="s">
        <v>1154</v>
      </c>
      <c r="G222" s="344"/>
      <c r="H222" s="344"/>
      <c r="I222" s="49">
        <f>I221*I263</f>
        <v>4969.5999999999995</v>
      </c>
      <c r="J222" s="49">
        <f>J221*J263</f>
        <v>7620.0599999999995</v>
      </c>
      <c r="K222" s="49">
        <f>K221*K263</f>
        <v>11151.6</v>
      </c>
      <c r="L222" s="344"/>
      <c r="M222" s="49">
        <f>M221*M263</f>
        <v>14694</v>
      </c>
      <c r="N222" s="49">
        <f>N221*N263</f>
        <v>16832</v>
      </c>
      <c r="O222" s="49">
        <f>O221*O263</f>
        <v>18954.25</v>
      </c>
      <c r="P222" s="49">
        <f>P221*P263</f>
        <v>21120</v>
      </c>
      <c r="Q222" s="344"/>
      <c r="R222" s="49">
        <f>R221*R263</f>
        <v>26311.999999999996</v>
      </c>
      <c r="S222" s="49">
        <f>S221*S263</f>
        <v>30177</v>
      </c>
      <c r="T222" s="49">
        <f>T221*T263</f>
        <v>33768</v>
      </c>
      <c r="U222" s="49">
        <f>U221*U263</f>
        <v>39852</v>
      </c>
      <c r="V222" s="344"/>
      <c r="W222" s="49">
        <f>W221*W263</f>
        <v>48597</v>
      </c>
      <c r="X222" s="49">
        <f>X221*X263</f>
        <v>54782</v>
      </c>
      <c r="Y222" s="344"/>
      <c r="Z222" s="344"/>
      <c r="AA222" s="344"/>
    </row>
    <row r="223" spans="2:36" x14ac:dyDescent="0.6">
      <c r="V223" s="339"/>
      <c r="Y223" s="1098"/>
      <c r="Z223" s="1098"/>
    </row>
    <row r="224" spans="2:36" x14ac:dyDescent="0.6">
      <c r="B224" s="363" t="s">
        <v>47</v>
      </c>
      <c r="C224" s="363"/>
      <c r="D224" s="364"/>
      <c r="E224" s="364"/>
      <c r="F224" s="364"/>
      <c r="G224" s="365">
        <f>Master!E212</f>
        <v>5584.9</v>
      </c>
      <c r="H224" s="488">
        <v>5500</v>
      </c>
      <c r="I224" s="488">
        <v>7500</v>
      </c>
      <c r="J224" s="488">
        <v>8100</v>
      </c>
      <c r="K224" s="488">
        <v>9667</v>
      </c>
      <c r="L224" s="365">
        <f>Master!F212</f>
        <v>9667.2999999999993</v>
      </c>
      <c r="M224" s="488">
        <v>12596</v>
      </c>
      <c r="N224" s="488">
        <v>13293</v>
      </c>
      <c r="O224" s="488">
        <v>14040</v>
      </c>
      <c r="P224" s="488">
        <v>15808</v>
      </c>
      <c r="Q224" s="365">
        <f>Master!G212</f>
        <v>15808</v>
      </c>
      <c r="R224" s="488">
        <v>15757</v>
      </c>
      <c r="S224" s="488">
        <v>18034</v>
      </c>
      <c r="T224" s="488">
        <v>19117</v>
      </c>
      <c r="U224" s="488">
        <v>23691</v>
      </c>
      <c r="V224" s="365">
        <f>Master!H212</f>
        <v>23691</v>
      </c>
      <c r="W224" s="488">
        <v>24254</v>
      </c>
      <c r="X224" s="488">
        <v>25229</v>
      </c>
      <c r="Y224" s="366">
        <f>X224+2500</f>
        <v>27729</v>
      </c>
      <c r="Z224" s="364">
        <f>AA224</f>
        <v>30085.70785426574</v>
      </c>
      <c r="AA224" s="365">
        <f>Master!I212</f>
        <v>30085.70785426574</v>
      </c>
      <c r="AC224" s="104"/>
      <c r="AD224" s="104"/>
      <c r="AE224" s="104"/>
      <c r="AF224" s="104"/>
      <c r="AH224" s="104"/>
      <c r="AI224" s="104"/>
      <c r="AJ224" s="104"/>
    </row>
    <row r="225" spans="2:36" x14ac:dyDescent="0.6">
      <c r="B225" t="s">
        <v>578</v>
      </c>
      <c r="G225" s="49"/>
      <c r="H225" s="344">
        <f>(-H25*4)/AVERAGE(G224,H224)</f>
        <v>2.2877969129175727E-2</v>
      </c>
      <c r="I225" s="344">
        <f>(-I25*4)/AVERAGE(H224,I224)</f>
        <v>3.5200000000000002E-2</v>
      </c>
      <c r="J225" s="344">
        <f>(-J25*4)/AVERAGE(I224,J224)</f>
        <v>5.2000000000000005E-2</v>
      </c>
      <c r="K225" s="344">
        <f>(-K25*4)/AVERAGE(J224,K224)</f>
        <v>7.9698317104744745E-2</v>
      </c>
      <c r="L225" s="344">
        <f>(-L25)/AVERAGE(G224,L224)</f>
        <v>4.8169313279395762E-2</v>
      </c>
      <c r="M225" s="344">
        <f>(-M25*4)/AVERAGE(L224,M224)</f>
        <v>9.8099742625756284E-2</v>
      </c>
      <c r="N225" s="344">
        <f>(-N25*4)/AVERAGE(M224,N224)</f>
        <v>0.12592220634246204</v>
      </c>
      <c r="O225" s="344">
        <f>(-O25*4)/AVERAGE(N224,O224)</f>
        <v>0.13460651959170233</v>
      </c>
      <c r="P225" s="344">
        <f>(-P25*4)/AVERAGE(O224,P224)</f>
        <v>0.108978021978022</v>
      </c>
      <c r="Q225" s="344">
        <f>(-Q25)/AVERAGE(L224,Q224)</f>
        <v>0.1215294814977645</v>
      </c>
      <c r="R225" s="344">
        <f>(-R25*4)/AVERAGE(Q224,R224)</f>
        <v>0.1115465864089973</v>
      </c>
      <c r="S225" s="344">
        <f>(-S25*4)/AVERAGE(R224,S224)</f>
        <v>0.1073421917078512</v>
      </c>
      <c r="T225" s="344">
        <f>(-T25*4)/AVERAGE(S224,T224)</f>
        <v>0.11577594142822535</v>
      </c>
      <c r="U225" s="344">
        <f>(-U25*4)/AVERAGE(T224,U224)</f>
        <v>0.11303120911979066</v>
      </c>
      <c r="V225" s="344">
        <f>(-V25)/AVERAGE(Q224,V224)</f>
        <v>0.1030912174991772</v>
      </c>
      <c r="W225" s="344">
        <f>(-W25*4)/AVERAGE(V224,W224)</f>
        <v>0.11012618625508395</v>
      </c>
      <c r="X225" s="344">
        <f>(-X25*4)/AVERAGE(W224,X224)</f>
        <v>0.1075116706747772</v>
      </c>
      <c r="Y225" s="344">
        <f>(-Y25*4)/AVERAGE(X224,Y224)</f>
        <v>0.1093935193927263</v>
      </c>
      <c r="Z225" s="344">
        <f>(-Z25*4)/AVERAGE(Y224,Z224)</f>
        <v>0.11004296167581516</v>
      </c>
      <c r="AA225" s="344">
        <f>(-AA25)/AVERAGE(V224,AA224)</f>
        <v>0.10578633663468294</v>
      </c>
      <c r="AC225" s="104"/>
      <c r="AD225" s="104"/>
      <c r="AE225" s="104"/>
      <c r="AF225" s="104"/>
      <c r="AH225" s="104"/>
      <c r="AI225" s="104"/>
      <c r="AJ225" s="104"/>
    </row>
    <row r="226" spans="2:36" x14ac:dyDescent="0.6">
      <c r="M226" s="280"/>
      <c r="N226" s="280"/>
      <c r="O226" s="280"/>
      <c r="P226" s="280"/>
      <c r="R226" s="280"/>
      <c r="S226" s="280"/>
      <c r="T226" s="280"/>
      <c r="U226" s="280"/>
      <c r="V226" s="1045"/>
      <c r="W226" s="280"/>
      <c r="X226" s="280"/>
      <c r="Y226" s="1106"/>
      <c r="Z226" s="1106"/>
      <c r="AC226" s="104"/>
      <c r="AD226" s="104"/>
      <c r="AE226" s="104"/>
      <c r="AF226" s="104"/>
      <c r="AH226" s="104"/>
      <c r="AI226" s="104"/>
      <c r="AJ226" s="104"/>
    </row>
    <row r="227" spans="2:36" x14ac:dyDescent="0.6">
      <c r="B227" s="20" t="s">
        <v>1454</v>
      </c>
      <c r="C227" s="20"/>
      <c r="D227" s="23"/>
      <c r="E227" s="23"/>
      <c r="F227" s="23"/>
      <c r="G227" s="23"/>
      <c r="H227" s="270">
        <f>H218/H224</f>
        <v>0.65454545454545454</v>
      </c>
      <c r="I227" s="270">
        <f t="shared" ref="I227:Z227" si="60">I218/I224</f>
        <v>0.56000000000000005</v>
      </c>
      <c r="J227" s="270">
        <f t="shared" si="60"/>
        <v>0.5992839506172839</v>
      </c>
      <c r="K227" s="270">
        <f t="shared" si="60"/>
        <v>0.61808213509878973</v>
      </c>
      <c r="L227" s="270"/>
      <c r="M227" s="270">
        <f t="shared" si="60"/>
        <v>0.62726262305493807</v>
      </c>
      <c r="N227" s="270">
        <f t="shared" si="60"/>
        <v>0.61340555179417744</v>
      </c>
      <c r="O227" s="270">
        <f t="shared" si="60"/>
        <v>0.61189836182336177</v>
      </c>
      <c r="P227" s="270">
        <f t="shared" si="60"/>
        <v>0.62664473684210531</v>
      </c>
      <c r="Q227" s="270"/>
      <c r="R227" s="270">
        <f t="shared" si="60"/>
        <v>0.70939899727105415</v>
      </c>
      <c r="S227" s="270">
        <f t="shared" si="60"/>
        <v>0.71093490074304089</v>
      </c>
      <c r="T227" s="270">
        <f t="shared" ref="T227:U227" si="61">T218/T224</f>
        <v>0.68972527070146983</v>
      </c>
      <c r="U227" s="270">
        <f t="shared" si="61"/>
        <v>0.65915326495293569</v>
      </c>
      <c r="V227" s="270"/>
      <c r="W227" s="270">
        <f t="shared" si="60"/>
        <v>0.68692586789807875</v>
      </c>
      <c r="X227" s="270">
        <f t="shared" ref="X227" si="62">X218/X224</f>
        <v>0.6355781045622102</v>
      </c>
      <c r="Y227" s="270">
        <f t="shared" si="60"/>
        <v>0.6359318599824928</v>
      </c>
      <c r="Z227" s="270">
        <f t="shared" si="60"/>
        <v>0.6345790970134676</v>
      </c>
      <c r="AA227" s="270"/>
      <c r="AC227" s="104"/>
      <c r="AD227" s="104"/>
      <c r="AE227" s="104"/>
      <c r="AF227" s="104"/>
      <c r="AH227" s="104"/>
      <c r="AI227" s="104"/>
      <c r="AJ227" s="104"/>
    </row>
    <row r="228" spans="2:36" x14ac:dyDescent="0.6">
      <c r="M228" s="280"/>
      <c r="N228" s="280"/>
      <c r="O228" s="280"/>
      <c r="P228" s="280"/>
      <c r="R228" s="280"/>
      <c r="S228" s="280"/>
      <c r="T228" s="280"/>
      <c r="U228" s="280"/>
      <c r="W228" s="280"/>
      <c r="X228" s="280"/>
      <c r="Y228" s="280"/>
      <c r="Z228" s="280"/>
      <c r="AC228" s="104"/>
      <c r="AD228" s="104"/>
      <c r="AE228" s="104"/>
      <c r="AF228" s="104"/>
      <c r="AH228" s="104"/>
      <c r="AI228" s="104"/>
      <c r="AJ228" s="104"/>
    </row>
    <row r="229" spans="2:36" x14ac:dyDescent="0.6">
      <c r="B229" t="s">
        <v>101</v>
      </c>
      <c r="J229" s="43">
        <f>4690+1838</f>
        <v>6528</v>
      </c>
      <c r="K229" s="43">
        <f>L229</f>
        <v>8163.4279999999999</v>
      </c>
      <c r="L229" s="43">
        <f>Master!F190</f>
        <v>8163.4279999999999</v>
      </c>
      <c r="M229" s="43">
        <v>9260</v>
      </c>
      <c r="N229" s="43">
        <v>8851</v>
      </c>
      <c r="O229" s="43">
        <v>8931</v>
      </c>
      <c r="P229" s="43">
        <f>Q229</f>
        <v>9947</v>
      </c>
      <c r="Q229" s="43">
        <f>Master!G190</f>
        <v>9947</v>
      </c>
      <c r="R229" s="43">
        <v>7916</v>
      </c>
      <c r="S229" s="43">
        <v>7480</v>
      </c>
      <c r="T229" s="43">
        <v>8605</v>
      </c>
      <c r="U229" s="43">
        <v>8805</v>
      </c>
      <c r="V229" s="43">
        <f>Master!H190</f>
        <v>8805</v>
      </c>
      <c r="W229" s="43">
        <v>8801.9249999999993</v>
      </c>
      <c r="X229" s="43">
        <v>8156</v>
      </c>
      <c r="Y229" s="43">
        <f>Y230*Y224</f>
        <v>9705.15</v>
      </c>
      <c r="Z229" s="43">
        <f>AA229</f>
        <v>10529.997748993008</v>
      </c>
      <c r="AA229" s="43">
        <f>Master!I190</f>
        <v>10529.997748993008</v>
      </c>
      <c r="AC229" s="104"/>
      <c r="AD229" s="104"/>
      <c r="AE229" s="104"/>
      <c r="AF229" s="104"/>
      <c r="AH229" s="104"/>
      <c r="AI229" s="104"/>
      <c r="AJ229" s="104"/>
    </row>
    <row r="230" spans="2:36" x14ac:dyDescent="0.6">
      <c r="B230" t="s">
        <v>1327</v>
      </c>
      <c r="J230" s="335">
        <f>J229/J224</f>
        <v>0.80592592592592593</v>
      </c>
      <c r="K230" s="335">
        <f>K229/K224</f>
        <v>0.84446343229543808</v>
      </c>
      <c r="M230" s="335">
        <f t="shared" ref="M230:S230" si="63">M229/M224</f>
        <v>0.73515401714830109</v>
      </c>
      <c r="N230" s="335">
        <f t="shared" si="63"/>
        <v>0.66583916346949523</v>
      </c>
      <c r="O230" s="335">
        <f t="shared" si="63"/>
        <v>0.63611111111111107</v>
      </c>
      <c r="P230" s="335">
        <f t="shared" si="63"/>
        <v>0.62923836032388669</v>
      </c>
      <c r="R230" s="335">
        <f t="shared" si="63"/>
        <v>0.50237989464999677</v>
      </c>
      <c r="S230" s="335">
        <f t="shared" si="63"/>
        <v>0.4147720971498281</v>
      </c>
      <c r="T230" s="335">
        <f t="shared" ref="T230:U230" si="64">T229/T224</f>
        <v>0.45012292723753727</v>
      </c>
      <c r="U230" s="335">
        <f t="shared" si="64"/>
        <v>0.37166012409775862</v>
      </c>
      <c r="V230" s="335">
        <f>V229/V224</f>
        <v>0.37166012409775862</v>
      </c>
      <c r="W230" s="335">
        <f t="shared" ref="W230:X230" si="65">W229/W224</f>
        <v>0.36290611857837879</v>
      </c>
      <c r="X230" s="335">
        <f t="shared" si="65"/>
        <v>0.32327876649887033</v>
      </c>
      <c r="Y230" s="1260">
        <v>0.35</v>
      </c>
      <c r="Z230" s="335">
        <f>Z229/Z224</f>
        <v>0.35</v>
      </c>
      <c r="AA230" s="335">
        <f>AA229/AA224</f>
        <v>0.35</v>
      </c>
      <c r="AC230" s="104"/>
      <c r="AD230" s="104"/>
      <c r="AE230" s="104"/>
      <c r="AF230" s="104"/>
      <c r="AH230" s="104"/>
      <c r="AI230" s="104"/>
      <c r="AJ230" s="104"/>
    </row>
    <row r="231" spans="2:36" x14ac:dyDescent="0.6">
      <c r="M231" s="280"/>
      <c r="N231" s="280"/>
      <c r="O231" s="280"/>
      <c r="P231" s="280"/>
      <c r="AC231" s="104"/>
      <c r="AD231" s="104"/>
      <c r="AE231" s="104"/>
      <c r="AF231" s="104"/>
      <c r="AH231" s="104"/>
      <c r="AI231" s="104"/>
      <c r="AJ231" s="104"/>
    </row>
    <row r="232" spans="2:36" x14ac:dyDescent="0.6">
      <c r="B232" s="337" t="s">
        <v>1010</v>
      </c>
      <c r="C232" s="337"/>
      <c r="K232" s="280"/>
      <c r="S232" s="1121"/>
      <c r="T232" s="1121"/>
      <c r="U232" s="1121"/>
    </row>
    <row r="233" spans="2:36" x14ac:dyDescent="0.6">
      <c r="B233" s="336" t="s">
        <v>345</v>
      </c>
      <c r="C233" s="489">
        <v>2786.5</v>
      </c>
      <c r="D233" s="80"/>
      <c r="E233" s="80"/>
      <c r="F233" s="80"/>
      <c r="G233" s="489">
        <v>2908.9</v>
      </c>
      <c r="H233" s="489">
        <v>3300</v>
      </c>
      <c r="I233" s="489">
        <v>3600</v>
      </c>
      <c r="J233" s="489">
        <v>4061.5</v>
      </c>
      <c r="K233" s="489">
        <v>4780.5</v>
      </c>
      <c r="L233" s="80"/>
      <c r="M233" s="489">
        <v>6234</v>
      </c>
      <c r="N233" s="489">
        <v>6478.47</v>
      </c>
      <c r="O233" s="489">
        <v>6987.9480000000003</v>
      </c>
      <c r="P233" s="489">
        <v>8233</v>
      </c>
      <c r="Q233" s="80"/>
      <c r="R233" s="489">
        <v>9158</v>
      </c>
      <c r="S233" s="489">
        <v>10388</v>
      </c>
      <c r="T233" s="489">
        <v>10495.5</v>
      </c>
      <c r="U233" s="489">
        <v>12414</v>
      </c>
      <c r="W233" s="489">
        <v>12796.7</v>
      </c>
      <c r="X233" s="489">
        <v>12027</v>
      </c>
      <c r="Y233" s="528">
        <f>Y267/Y$263</f>
        <v>12951.07818181818</v>
      </c>
      <c r="Z233" s="80">
        <f>Master!I193</f>
        <v>13815.930217466615</v>
      </c>
      <c r="AB233" s="80"/>
    </row>
    <row r="234" spans="2:36" x14ac:dyDescent="0.6">
      <c r="B234" s="336" t="s">
        <v>218</v>
      </c>
      <c r="C234" s="489">
        <v>58</v>
      </c>
      <c r="D234" s="80"/>
      <c r="E234" s="80"/>
      <c r="F234" s="80"/>
      <c r="G234" s="489">
        <v>202.32558139534882</v>
      </c>
      <c r="H234" s="489">
        <v>400</v>
      </c>
      <c r="I234" s="489">
        <v>600</v>
      </c>
      <c r="J234" s="489">
        <v>792.7</v>
      </c>
      <c r="K234" s="489">
        <v>1194.81</v>
      </c>
      <c r="L234" s="80"/>
      <c r="M234" s="489">
        <v>1667</v>
      </c>
      <c r="N234" s="489">
        <v>1675.7760000000001</v>
      </c>
      <c r="O234" s="489">
        <v>1603.105</v>
      </c>
      <c r="P234" s="489">
        <v>1673</v>
      </c>
      <c r="Q234" s="80"/>
      <c r="R234" s="489">
        <v>2020</v>
      </c>
      <c r="S234" s="489">
        <v>2433</v>
      </c>
      <c r="T234" s="489">
        <v>2689.9780000000001</v>
      </c>
      <c r="U234" s="489">
        <v>3202</v>
      </c>
      <c r="W234" s="489">
        <v>3864</v>
      </c>
      <c r="X234" s="489">
        <v>4008</v>
      </c>
      <c r="Y234" s="528">
        <f t="shared" ref="Y234:Y235" si="66">Y268/Y$263</f>
        <v>4619.04</v>
      </c>
      <c r="Z234" s="80">
        <f>Master!I194</f>
        <v>5115.5955553122285</v>
      </c>
      <c r="AA234" s="80"/>
      <c r="AB234" s="80"/>
      <c r="AC234" s="104"/>
      <c r="AD234" s="104"/>
      <c r="AE234" s="104"/>
      <c r="AF234" s="104"/>
      <c r="AH234" s="104"/>
      <c r="AI234" s="104"/>
      <c r="AJ234" s="104"/>
    </row>
    <row r="235" spans="2:36" x14ac:dyDescent="0.6">
      <c r="B235" s="342" t="s">
        <v>419</v>
      </c>
      <c r="C235" s="490"/>
      <c r="D235" s="310"/>
      <c r="E235" s="310"/>
      <c r="F235" s="310"/>
      <c r="G235" s="490"/>
      <c r="H235" s="490"/>
      <c r="I235" s="490"/>
      <c r="J235" s="490"/>
      <c r="K235" s="490"/>
      <c r="L235" s="310"/>
      <c r="M235" s="490"/>
      <c r="N235" s="490"/>
      <c r="O235" s="490"/>
      <c r="P235" s="490"/>
      <c r="Q235" s="310"/>
      <c r="R235" s="310"/>
      <c r="S235" s="310"/>
      <c r="T235" s="310"/>
      <c r="U235" s="310"/>
      <c r="V235" s="343"/>
      <c r="W235" s="310"/>
      <c r="X235" s="310"/>
      <c r="Y235" s="524">
        <f t="shared" si="66"/>
        <v>63.636363636363633</v>
      </c>
      <c r="Z235" s="310">
        <f>Master!I195</f>
        <v>160.2355503920999</v>
      </c>
      <c r="AA235" s="80"/>
      <c r="AB235" s="80"/>
      <c r="AC235" s="104"/>
      <c r="AD235" s="104"/>
      <c r="AE235" s="104"/>
      <c r="AF235" s="104"/>
      <c r="AH235" s="104"/>
      <c r="AI235" s="104"/>
      <c r="AJ235" s="104"/>
    </row>
    <row r="236" spans="2:36" x14ac:dyDescent="0.6">
      <c r="B236" s="336" t="s">
        <v>449</v>
      </c>
      <c r="C236" s="339">
        <f>C233+C234</f>
        <v>2844.5</v>
      </c>
      <c r="D236" s="339"/>
      <c r="E236" s="339"/>
      <c r="F236" s="339"/>
      <c r="G236" s="339">
        <f>G233+G234</f>
        <v>3111.2255813953489</v>
      </c>
      <c r="H236" s="339">
        <f>H233+H234</f>
        <v>3700</v>
      </c>
      <c r="I236" s="339">
        <f>I233+I234</f>
        <v>4200</v>
      </c>
      <c r="J236" s="339">
        <f>J233+J234</f>
        <v>4854.2</v>
      </c>
      <c r="K236" s="339">
        <f>K233+K234</f>
        <v>5975.3099999999995</v>
      </c>
      <c r="L236" s="339"/>
      <c r="M236" s="339">
        <f>M233+M234</f>
        <v>7901</v>
      </c>
      <c r="N236" s="339">
        <f>N233+N234</f>
        <v>8154.2460000000001</v>
      </c>
      <c r="O236" s="339">
        <f>O233+O234</f>
        <v>8591.0529999999999</v>
      </c>
      <c r="P236" s="339">
        <f>P233+P234</f>
        <v>9906</v>
      </c>
      <c r="Q236" s="339"/>
      <c r="R236" s="339">
        <f>R233+R234</f>
        <v>11178</v>
      </c>
      <c r="S236" s="339">
        <f>S233+S234</f>
        <v>12821</v>
      </c>
      <c r="T236" s="339">
        <f>T233+T234</f>
        <v>13185.477999999999</v>
      </c>
      <c r="U236" s="339">
        <f>U233+U234</f>
        <v>15616</v>
      </c>
      <c r="W236" s="339">
        <f>SUM(W233:W235)</f>
        <v>16660.7</v>
      </c>
      <c r="X236" s="339">
        <f>SUM(X233:X235)</f>
        <v>16035</v>
      </c>
      <c r="Y236" s="339">
        <f>SUM(Y233:Y235)</f>
        <v>17633.754545454543</v>
      </c>
      <c r="Z236" s="339">
        <f>SUM(Z233:Z235)</f>
        <v>19091.761323170944</v>
      </c>
      <c r="AB236" s="339"/>
      <c r="AC236" s="104"/>
      <c r="AD236" s="104"/>
      <c r="AE236" s="104"/>
      <c r="AF236" s="104"/>
      <c r="AH236" s="104"/>
      <c r="AI236" s="104"/>
      <c r="AJ236" s="104"/>
    </row>
    <row r="237" spans="2:36" x14ac:dyDescent="0.6">
      <c r="B237" s="336"/>
      <c r="C237" s="336"/>
      <c r="D237" s="339"/>
      <c r="E237" s="339"/>
      <c r="F237" s="339"/>
      <c r="G237" s="339"/>
      <c r="H237" s="339"/>
      <c r="I237" s="339"/>
      <c r="J237" s="339"/>
      <c r="K237" s="852"/>
      <c r="L237" s="339"/>
      <c r="M237" s="852"/>
      <c r="N237" s="852"/>
      <c r="O237" s="852"/>
      <c r="P237" s="339"/>
      <c r="Q237" s="339"/>
      <c r="R237" s="339"/>
      <c r="S237" s="339"/>
      <c r="T237" s="339"/>
      <c r="U237" s="339"/>
      <c r="V237" s="339"/>
      <c r="W237" s="339"/>
      <c r="X237" s="339"/>
      <c r="Y237" s="1098"/>
      <c r="Z237" s="1098"/>
      <c r="AA237" s="339"/>
      <c r="AB237" s="339"/>
      <c r="AC237" s="104"/>
      <c r="AD237" s="104"/>
      <c r="AE237" s="104"/>
      <c r="AF237" s="104"/>
      <c r="AH237" s="104"/>
      <c r="AI237" s="104"/>
      <c r="AJ237" s="104"/>
    </row>
    <row r="238" spans="2:36" x14ac:dyDescent="0.6">
      <c r="B238" s="337" t="s">
        <v>1012</v>
      </c>
      <c r="C238" s="336"/>
      <c r="D238" s="339"/>
      <c r="E238" s="339"/>
      <c r="F238" s="339"/>
      <c r="G238" s="339"/>
      <c r="H238" s="339"/>
      <c r="I238" s="339"/>
      <c r="J238" s="339"/>
      <c r="K238" s="339"/>
      <c r="L238" s="339"/>
      <c r="M238" s="339"/>
      <c r="N238" s="339"/>
      <c r="O238" s="339"/>
      <c r="P238" s="339"/>
      <c r="Q238" s="339"/>
      <c r="R238" s="339"/>
      <c r="S238" s="339"/>
      <c r="T238" s="339"/>
      <c r="U238" s="339"/>
      <c r="V238" s="339"/>
      <c r="W238" s="339"/>
      <c r="X238" s="339"/>
      <c r="Y238" s="339"/>
      <c r="Z238" s="339"/>
      <c r="AA238" s="339"/>
      <c r="AB238" s="339"/>
      <c r="AC238" s="104"/>
      <c r="AD238" s="104"/>
      <c r="AE238" s="104"/>
      <c r="AF238" s="104"/>
      <c r="AH238" s="104"/>
      <c r="AI238" s="104"/>
      <c r="AJ238" s="104"/>
    </row>
    <row r="239" spans="2:36" x14ac:dyDescent="0.6">
      <c r="B239" s="336" t="s">
        <v>345</v>
      </c>
      <c r="C239" s="336"/>
      <c r="D239" s="339"/>
      <c r="E239" s="339"/>
      <c r="F239" s="339"/>
      <c r="G239" s="339"/>
      <c r="H239" s="339">
        <f t="shared" ref="H239:K240" si="67">H233-G233</f>
        <v>391.09999999999991</v>
      </c>
      <c r="I239" s="339">
        <f t="shared" si="67"/>
        <v>300</v>
      </c>
      <c r="J239" s="339">
        <f t="shared" si="67"/>
        <v>461.5</v>
      </c>
      <c r="K239" s="339">
        <f t="shared" si="67"/>
        <v>719</v>
      </c>
      <c r="L239" s="339"/>
      <c r="M239" s="339">
        <f>M233-K233</f>
        <v>1453.5</v>
      </c>
      <c r="N239" s="339">
        <f t="shared" ref="N239:P240" si="68">N233-M233</f>
        <v>244.47000000000025</v>
      </c>
      <c r="O239" s="339">
        <f t="shared" si="68"/>
        <v>509.47800000000007</v>
      </c>
      <c r="P239" s="339">
        <f t="shared" si="68"/>
        <v>1245.0519999999997</v>
      </c>
      <c r="Q239" s="339"/>
      <c r="R239" s="339">
        <f>R233-P233</f>
        <v>925</v>
      </c>
      <c r="S239" s="339">
        <f t="shared" ref="S239:U240" si="69">S233-R233</f>
        <v>1230</v>
      </c>
      <c r="T239" s="339">
        <f t="shared" si="69"/>
        <v>107.5</v>
      </c>
      <c r="U239" s="339">
        <f t="shared" si="69"/>
        <v>1918.5</v>
      </c>
      <c r="V239" s="339"/>
      <c r="W239" s="339">
        <f t="shared" ref="W239:W240" si="70">W233-U233</f>
        <v>382.70000000000073</v>
      </c>
      <c r="X239" s="339">
        <f>X233-W233</f>
        <v>-769.70000000000073</v>
      </c>
      <c r="Y239" s="339">
        <f>Y233-X233</f>
        <v>924.07818181818038</v>
      </c>
      <c r="Z239" s="339">
        <f>Z233-Y233</f>
        <v>864.85203564843505</v>
      </c>
      <c r="AA239" s="339"/>
      <c r="AB239" s="339"/>
      <c r="AC239" s="104"/>
      <c r="AD239" s="104"/>
      <c r="AE239" s="104"/>
      <c r="AF239" s="104"/>
      <c r="AH239" s="104"/>
      <c r="AI239" s="104"/>
      <c r="AJ239" s="104"/>
    </row>
    <row r="240" spans="2:36" x14ac:dyDescent="0.6">
      <c r="B240" s="336" t="s">
        <v>218</v>
      </c>
      <c r="C240" s="336"/>
      <c r="D240" s="339"/>
      <c r="E240" s="339"/>
      <c r="F240" s="339"/>
      <c r="G240" s="339"/>
      <c r="H240" s="339">
        <f t="shared" si="67"/>
        <v>197.67441860465118</v>
      </c>
      <c r="I240" s="339">
        <f t="shared" si="67"/>
        <v>200</v>
      </c>
      <c r="J240" s="339">
        <f t="shared" si="67"/>
        <v>192.70000000000005</v>
      </c>
      <c r="K240" s="339">
        <f t="shared" si="67"/>
        <v>402.1099999999999</v>
      </c>
      <c r="L240" s="339"/>
      <c r="M240" s="339">
        <f>M234-K234</f>
        <v>472.19000000000005</v>
      </c>
      <c r="N240" s="339">
        <f t="shared" si="68"/>
        <v>8.7760000000000673</v>
      </c>
      <c r="O240" s="339">
        <f t="shared" si="68"/>
        <v>-72.671000000000049</v>
      </c>
      <c r="P240" s="339">
        <f t="shared" si="68"/>
        <v>69.894999999999982</v>
      </c>
      <c r="Q240" s="339"/>
      <c r="R240" s="339">
        <f>R234-P234</f>
        <v>347</v>
      </c>
      <c r="S240" s="339">
        <f t="shared" si="69"/>
        <v>413</v>
      </c>
      <c r="T240" s="339">
        <f t="shared" si="69"/>
        <v>256.97800000000007</v>
      </c>
      <c r="U240" s="339">
        <f t="shared" si="69"/>
        <v>512.02199999999993</v>
      </c>
      <c r="V240" s="339"/>
      <c r="W240" s="339">
        <f t="shared" si="70"/>
        <v>662</v>
      </c>
      <c r="X240" s="339">
        <f>X234-W234</f>
        <v>144</v>
      </c>
      <c r="Y240" s="339">
        <f>Y234-X234</f>
        <v>611.04</v>
      </c>
      <c r="Z240" s="339">
        <f t="shared" ref="Z240:Z241" si="71">Z234-Y234</f>
        <v>496.55555531222853</v>
      </c>
      <c r="AA240" s="339"/>
      <c r="AB240" s="339"/>
      <c r="AC240" s="104"/>
      <c r="AD240" s="104"/>
      <c r="AE240" s="104"/>
      <c r="AF240" s="104"/>
      <c r="AG240"/>
      <c r="AH240" s="104"/>
      <c r="AI240" s="104"/>
      <c r="AJ240" s="104"/>
    </row>
    <row r="241" spans="1:36" s="84" customFormat="1" x14ac:dyDescent="0.6">
      <c r="A241"/>
      <c r="B241" s="342" t="s">
        <v>419</v>
      </c>
      <c r="C241" s="342"/>
      <c r="D241" s="525"/>
      <c r="E241" s="525"/>
      <c r="F241" s="525"/>
      <c r="G241" s="525"/>
      <c r="H241" s="525"/>
      <c r="I241" s="525"/>
      <c r="J241" s="525"/>
      <c r="K241" s="525"/>
      <c r="L241" s="525"/>
      <c r="M241" s="525"/>
      <c r="N241" s="525"/>
      <c r="O241" s="525"/>
      <c r="P241" s="525"/>
      <c r="Q241" s="525"/>
      <c r="R241" s="525"/>
      <c r="S241" s="525"/>
      <c r="T241" s="525"/>
      <c r="U241" s="525"/>
      <c r="V241" s="525"/>
      <c r="W241" s="525"/>
      <c r="X241" s="525"/>
      <c r="Y241" s="525">
        <f>Y235-X235</f>
        <v>63.636363636363633</v>
      </c>
      <c r="Z241" s="525">
        <f t="shared" si="71"/>
        <v>96.59918675573627</v>
      </c>
      <c r="AA241" s="525"/>
      <c r="AB241" s="525"/>
      <c r="AC241" s="526"/>
      <c r="AD241" s="526"/>
      <c r="AE241" s="526"/>
      <c r="AF241" s="526"/>
      <c r="AH241" s="526"/>
      <c r="AI241" s="526"/>
      <c r="AJ241" s="526"/>
    </row>
    <row r="242" spans="1:36" x14ac:dyDescent="0.6">
      <c r="B242" s="336" t="s">
        <v>353</v>
      </c>
      <c r="C242" s="336"/>
      <c r="D242" s="339"/>
      <c r="E242" s="339"/>
      <c r="F242" s="339"/>
      <c r="G242" s="339"/>
      <c r="H242" s="339">
        <f>H236-G236</f>
        <v>588.77441860465115</v>
      </c>
      <c r="I242" s="339">
        <f>I236-H236</f>
        <v>500</v>
      </c>
      <c r="J242" s="339">
        <f>J236-I236</f>
        <v>654.19999999999982</v>
      </c>
      <c r="K242" s="339">
        <f>K236-J236</f>
        <v>1121.1099999999997</v>
      </c>
      <c r="L242" s="339"/>
      <c r="M242" s="339">
        <f>M236-K236</f>
        <v>1925.6900000000005</v>
      </c>
      <c r="N242" s="339">
        <f>N236-M236</f>
        <v>253.24600000000009</v>
      </c>
      <c r="O242" s="339">
        <f>O236-N236</f>
        <v>436.80699999999979</v>
      </c>
      <c r="P242" s="339">
        <f>P236-O236</f>
        <v>1314.9470000000001</v>
      </c>
      <c r="Q242" s="339"/>
      <c r="R242" s="339">
        <f>R236-P236</f>
        <v>1272</v>
      </c>
      <c r="S242" s="339">
        <f>S236-R236</f>
        <v>1643</v>
      </c>
      <c r="T242" s="339">
        <f>T236-S236</f>
        <v>364.47799999999916</v>
      </c>
      <c r="U242" s="339">
        <f>U236-T236</f>
        <v>2430.5220000000008</v>
      </c>
      <c r="V242" s="339"/>
      <c r="W242" s="339">
        <f>W236-U236</f>
        <v>1044.7000000000007</v>
      </c>
      <c r="X242" s="339">
        <f>X236-W236</f>
        <v>-625.70000000000073</v>
      </c>
      <c r="Y242" s="339">
        <f>Y236-X236</f>
        <v>1598.7545454545434</v>
      </c>
      <c r="Z242" s="339">
        <f>Z236-Y236</f>
        <v>1458.0067777164004</v>
      </c>
      <c r="AA242" s="339"/>
      <c r="AB242" s="339"/>
      <c r="AC242" s="104"/>
      <c r="AD242" s="104"/>
      <c r="AE242" s="104"/>
      <c r="AF242" s="104"/>
      <c r="AH242" s="104"/>
      <c r="AI242" s="104"/>
      <c r="AJ242" s="104"/>
    </row>
    <row r="243" spans="1:36" x14ac:dyDescent="0.6">
      <c r="B243" s="336"/>
      <c r="C243" s="336"/>
      <c r="D243" s="339"/>
      <c r="E243" s="339"/>
      <c r="F243" s="339"/>
      <c r="G243" s="339"/>
      <c r="H243" s="339"/>
      <c r="I243" s="339"/>
      <c r="J243" s="339"/>
      <c r="K243" s="339"/>
      <c r="L243" s="339"/>
      <c r="M243" s="339"/>
      <c r="N243" s="339"/>
      <c r="O243" s="339"/>
      <c r="P243" s="339"/>
      <c r="Q243" s="339"/>
      <c r="R243" s="339"/>
      <c r="S243" s="339"/>
      <c r="T243" s="339"/>
      <c r="U243" s="339"/>
      <c r="V243" s="339"/>
      <c r="W243" s="339"/>
      <c r="X243" s="339"/>
      <c r="Y243" s="339"/>
      <c r="Z243" s="339"/>
      <c r="AA243" s="339"/>
      <c r="AB243" s="339"/>
      <c r="AC243" s="104"/>
      <c r="AD243" s="104"/>
      <c r="AE243" s="104"/>
      <c r="AF243" s="104"/>
      <c r="AH243" s="104"/>
      <c r="AI243" s="104"/>
      <c r="AJ243" s="104"/>
    </row>
    <row r="244" spans="1:36" x14ac:dyDescent="0.6">
      <c r="B244" s="337" t="s">
        <v>1113</v>
      </c>
      <c r="C244" s="337"/>
    </row>
    <row r="245" spans="1:36" x14ac:dyDescent="0.6">
      <c r="B245" s="336" t="s">
        <v>345</v>
      </c>
      <c r="C245" s="336"/>
      <c r="D245" s="80"/>
      <c r="E245" s="80"/>
      <c r="F245" s="80"/>
      <c r="G245" s="522">
        <v>3119</v>
      </c>
      <c r="H245" s="522">
        <v>2995</v>
      </c>
      <c r="I245" s="522">
        <v>4087</v>
      </c>
      <c r="J245" s="522">
        <v>4368</v>
      </c>
      <c r="K245" s="80">
        <f>K251+K233</f>
        <v>5171.1790000000001</v>
      </c>
      <c r="L245" s="523"/>
      <c r="M245" s="80">
        <f t="shared" ref="M245:P246" si="72">M251+M233</f>
        <v>6814.4089999999997</v>
      </c>
      <c r="N245" s="80">
        <f t="shared" si="72"/>
        <v>7175.817</v>
      </c>
      <c r="O245" s="80">
        <f t="shared" si="72"/>
        <v>7812.2719999999999</v>
      </c>
      <c r="P245" s="80">
        <f t="shared" si="72"/>
        <v>9284</v>
      </c>
      <c r="Q245" s="80"/>
      <c r="R245" s="80">
        <f t="shared" ref="R245:T246" si="73">R251+R233</f>
        <v>10474</v>
      </c>
      <c r="S245" s="80">
        <f t="shared" si="73"/>
        <v>12062</v>
      </c>
      <c r="T245" s="80">
        <f t="shared" si="73"/>
        <v>12346.5</v>
      </c>
      <c r="U245" s="80">
        <f t="shared" ref="U245" si="74">U251+U233</f>
        <v>14510</v>
      </c>
      <c r="V245" s="80">
        <f>Drivers!H52</f>
        <v>14510</v>
      </c>
      <c r="W245" s="80">
        <f t="shared" ref="W245:X245" si="75">W251+W233</f>
        <v>15093.7</v>
      </c>
      <c r="X245" s="80">
        <f t="shared" si="75"/>
        <v>14340</v>
      </c>
      <c r="Y245" s="80">
        <f t="shared" ref="Y245:Y247" si="76">Y233/(1-Y258)</f>
        <v>15417.950216450216</v>
      </c>
      <c r="Z245" s="80">
        <f>AA245</f>
        <v>16254.035549960725</v>
      </c>
      <c r="AA245" s="80">
        <f>Drivers!I52</f>
        <v>16254.035549960725</v>
      </c>
      <c r="AB245" s="80"/>
    </row>
    <row r="246" spans="1:36" x14ac:dyDescent="0.6">
      <c r="B246" s="336" t="s">
        <v>218</v>
      </c>
      <c r="C246" s="336"/>
      <c r="D246" s="339"/>
      <c r="E246" s="339"/>
      <c r="F246" s="339"/>
      <c r="G246" s="339">
        <v>201</v>
      </c>
      <c r="H246" s="339">
        <v>304</v>
      </c>
      <c r="I246" s="339">
        <v>592</v>
      </c>
      <c r="J246" s="339">
        <v>903</v>
      </c>
      <c r="K246" s="80">
        <f>K252+K234</f>
        <v>1392.346</v>
      </c>
      <c r="L246" s="339"/>
      <c r="M246" s="80">
        <f t="shared" si="72"/>
        <v>2007.5</v>
      </c>
      <c r="N246" s="80">
        <f t="shared" si="72"/>
        <v>1946.0530000000001</v>
      </c>
      <c r="O246" s="80">
        <f t="shared" si="72"/>
        <v>1904.7350000000001</v>
      </c>
      <c r="P246" s="80">
        <f t="shared" si="72"/>
        <v>1973</v>
      </c>
      <c r="Q246" s="339"/>
      <c r="R246" s="80">
        <f t="shared" si="73"/>
        <v>2336</v>
      </c>
      <c r="S246" s="80">
        <f t="shared" si="73"/>
        <v>2792</v>
      </c>
      <c r="T246" s="80">
        <f t="shared" si="73"/>
        <v>3090.9780000000001</v>
      </c>
      <c r="U246" s="80">
        <f t="shared" ref="U246" si="77">U252+U234</f>
        <v>3714</v>
      </c>
      <c r="V246" s="80">
        <f>Drivers!H50</f>
        <v>3714</v>
      </c>
      <c r="W246" s="80">
        <f t="shared" ref="W246:X246" si="78">W252+W234</f>
        <v>4479</v>
      </c>
      <c r="X246" s="80">
        <f t="shared" si="78"/>
        <v>4631.4489999999996</v>
      </c>
      <c r="Y246" s="80">
        <f t="shared" si="76"/>
        <v>5370.9767441860467</v>
      </c>
      <c r="Z246" s="80">
        <f>AA246</f>
        <v>6018.3477121320338</v>
      </c>
      <c r="AA246" s="80">
        <f>Drivers!I50</f>
        <v>6018.3477121320338</v>
      </c>
      <c r="AB246" s="339"/>
      <c r="AC246" s="104"/>
      <c r="AD246" s="104"/>
      <c r="AE246" s="104"/>
      <c r="AF246" s="104"/>
      <c r="AG246"/>
      <c r="AH246" s="104"/>
      <c r="AI246" s="104"/>
      <c r="AJ246" s="104"/>
    </row>
    <row r="247" spans="1:36" s="84" customFormat="1" x14ac:dyDescent="0.6">
      <c r="A247"/>
      <c r="B247" s="342" t="s">
        <v>419</v>
      </c>
      <c r="C247" s="342"/>
      <c r="D247" s="525"/>
      <c r="E247" s="525"/>
      <c r="F247" s="525"/>
      <c r="G247" s="525"/>
      <c r="H247" s="525"/>
      <c r="I247" s="525"/>
      <c r="J247" s="525"/>
      <c r="K247" s="310"/>
      <c r="L247" s="525"/>
      <c r="M247" s="310"/>
      <c r="N247" s="310"/>
      <c r="O247" s="310"/>
      <c r="P247" s="310"/>
      <c r="Q247" s="525"/>
      <c r="R247" s="310"/>
      <c r="S247" s="310"/>
      <c r="T247" s="310"/>
      <c r="U247" s="310"/>
      <c r="V247" s="310"/>
      <c r="W247" s="310"/>
      <c r="X247" s="310"/>
      <c r="Y247" s="310">
        <f t="shared" si="76"/>
        <v>63.636363636363633</v>
      </c>
      <c r="Z247" s="310">
        <f>AA247</f>
        <v>160.2355503920999</v>
      </c>
      <c r="AA247" s="310">
        <f>Drivers!I54</f>
        <v>160.2355503920999</v>
      </c>
      <c r="AB247" s="525"/>
      <c r="AC247" s="526"/>
      <c r="AD247" s="526"/>
      <c r="AE247" s="526"/>
      <c r="AF247" s="526"/>
      <c r="AH247" s="526"/>
      <c r="AI247" s="526"/>
      <c r="AJ247" s="526"/>
    </row>
    <row r="248" spans="1:36" x14ac:dyDescent="0.6">
      <c r="B248" s="336" t="s">
        <v>449</v>
      </c>
      <c r="C248" s="336"/>
      <c r="D248" s="339"/>
      <c r="E248" s="339"/>
      <c r="F248" s="339"/>
      <c r="G248" s="339">
        <f>G245+G246</f>
        <v>3320</v>
      </c>
      <c r="H248" s="339">
        <f>H245+H246</f>
        <v>3299</v>
      </c>
      <c r="I248" s="339">
        <f>I245+I246</f>
        <v>4679</v>
      </c>
      <c r="J248" s="339">
        <f>J245+J246</f>
        <v>5271</v>
      </c>
      <c r="K248" s="339">
        <f>K245+K246</f>
        <v>6563.5249999999996</v>
      </c>
      <c r="L248" s="339"/>
      <c r="M248" s="339">
        <f>M245+M246</f>
        <v>8821.9089999999997</v>
      </c>
      <c r="N248" s="339">
        <f>N245+N246</f>
        <v>9121.8700000000008</v>
      </c>
      <c r="O248" s="339">
        <f>O245+O246</f>
        <v>9717.0069999999996</v>
      </c>
      <c r="P248" s="339">
        <f>P245+P246</f>
        <v>11257</v>
      </c>
      <c r="Q248" s="339"/>
      <c r="R248" s="339">
        <f>R245+R246</f>
        <v>12810</v>
      </c>
      <c r="S248" s="339">
        <f>S245+S246</f>
        <v>14854</v>
      </c>
      <c r="T248" s="339">
        <f>T245+T246</f>
        <v>15437.477999999999</v>
      </c>
      <c r="U248" s="339">
        <f>U245+U246</f>
        <v>18224</v>
      </c>
      <c r="V248" s="339">
        <f>SUM(V245:V247)</f>
        <v>18224</v>
      </c>
      <c r="W248" s="339">
        <f>W245+W246</f>
        <v>19572.7</v>
      </c>
      <c r="X248" s="339">
        <f>X245+X246</f>
        <v>18971.449000000001</v>
      </c>
      <c r="Y248" s="339">
        <f>Y245+Y246+Y247</f>
        <v>20852.563324272625</v>
      </c>
      <c r="Z248" s="339">
        <f>Z245+Z246+Z247</f>
        <v>22432.618812484856</v>
      </c>
      <c r="AA248" s="339">
        <f>SUM(AA245:AA247)</f>
        <v>22432.618812484856</v>
      </c>
      <c r="AB248" s="339"/>
      <c r="AC248" s="104"/>
      <c r="AD248" s="104"/>
      <c r="AE248" s="104"/>
      <c r="AF248" s="104"/>
      <c r="AH248" s="104"/>
      <c r="AI248" s="104"/>
      <c r="AJ248" s="104"/>
    </row>
    <row r="249" spans="1:36" x14ac:dyDescent="0.6">
      <c r="B249" s="336"/>
      <c r="C249" s="336"/>
      <c r="D249" s="339"/>
      <c r="E249" s="339"/>
      <c r="F249" s="339"/>
      <c r="G249" s="339"/>
      <c r="H249" s="339"/>
      <c r="I249" s="339"/>
      <c r="J249" s="339"/>
      <c r="K249" s="339"/>
      <c r="L249" s="339"/>
      <c r="M249" s="339"/>
      <c r="N249" s="339"/>
      <c r="O249" s="339"/>
      <c r="P249" s="339"/>
      <c r="Q249" s="339"/>
      <c r="R249" s="339"/>
      <c r="S249" s="339"/>
      <c r="T249" s="339"/>
      <c r="U249" s="339"/>
      <c r="V249" s="339"/>
      <c r="W249" s="339"/>
      <c r="X249" s="339"/>
      <c r="Y249" s="1098"/>
      <c r="Z249" s="1098"/>
      <c r="AA249" s="339"/>
      <c r="AB249" s="339"/>
      <c r="AC249" s="104"/>
      <c r="AD249" s="104"/>
      <c r="AE249" s="104"/>
      <c r="AF249" s="104"/>
      <c r="AH249" s="104"/>
      <c r="AI249" s="104"/>
      <c r="AJ249" s="104"/>
    </row>
    <row r="250" spans="1:36" x14ac:dyDescent="0.6">
      <c r="B250" s="337" t="s">
        <v>1117</v>
      </c>
      <c r="C250" s="336"/>
      <c r="D250" s="339"/>
      <c r="E250" s="339"/>
      <c r="F250" s="339"/>
      <c r="G250" s="339"/>
      <c r="H250" s="339"/>
      <c r="I250" s="339"/>
      <c r="J250" s="339"/>
      <c r="K250" s="339"/>
      <c r="L250" s="339"/>
      <c r="M250" s="339"/>
      <c r="N250" s="339"/>
      <c r="O250" s="339"/>
      <c r="P250" s="339"/>
      <c r="Q250" s="339"/>
      <c r="R250" s="339"/>
      <c r="S250" s="339"/>
      <c r="T250" s="339"/>
      <c r="U250" s="339"/>
      <c r="V250" s="339"/>
      <c r="W250" s="339"/>
      <c r="X250" s="339"/>
      <c r="Y250" s="339"/>
      <c r="Z250" s="339"/>
      <c r="AA250" s="339"/>
      <c r="AB250" s="339"/>
      <c r="AC250" s="104"/>
      <c r="AD250" s="104"/>
      <c r="AE250" s="104"/>
      <c r="AF250" s="104"/>
      <c r="AH250" s="104"/>
      <c r="AI250" s="104"/>
      <c r="AJ250" s="104"/>
    </row>
    <row r="251" spans="1:36" x14ac:dyDescent="0.6">
      <c r="B251" s="336" t="s">
        <v>345</v>
      </c>
      <c r="C251" s="336"/>
      <c r="D251" s="339"/>
      <c r="E251" s="339"/>
      <c r="F251" s="339"/>
      <c r="G251" s="339">
        <f t="shared" ref="G251:J252" si="79">G245-G233</f>
        <v>210.09999999999991</v>
      </c>
      <c r="H251" s="339">
        <f t="shared" si="79"/>
        <v>-305</v>
      </c>
      <c r="I251" s="339">
        <f t="shared" si="79"/>
        <v>487</v>
      </c>
      <c r="J251" s="339">
        <f t="shared" si="79"/>
        <v>306.5</v>
      </c>
      <c r="K251" s="875">
        <v>390.67899999999997</v>
      </c>
      <c r="L251" s="339"/>
      <c r="M251" s="489">
        <v>580.40899999999999</v>
      </c>
      <c r="N251" s="489">
        <v>697.34699999999998</v>
      </c>
      <c r="O251" s="489">
        <v>824.32399999999996</v>
      </c>
      <c r="P251" s="489">
        <v>1051</v>
      </c>
      <c r="Q251" s="339"/>
      <c r="R251" s="489">
        <v>1316</v>
      </c>
      <c r="S251" s="489">
        <v>1674</v>
      </c>
      <c r="T251" s="489">
        <v>1851</v>
      </c>
      <c r="U251" s="489">
        <v>2096</v>
      </c>
      <c r="V251" s="339"/>
      <c r="W251" s="489">
        <v>2297</v>
      </c>
      <c r="X251" s="489">
        <v>2313</v>
      </c>
      <c r="Y251" s="339">
        <f t="shared" ref="W251:Z254" si="80">Y245-Y233</f>
        <v>2466.8720346320351</v>
      </c>
      <c r="Z251" s="339">
        <f t="shared" si="80"/>
        <v>2438.1053324941095</v>
      </c>
      <c r="AA251" s="339"/>
      <c r="AB251" s="339"/>
      <c r="AC251" s="104"/>
      <c r="AD251" s="104"/>
      <c r="AE251" s="104"/>
      <c r="AF251" s="104"/>
      <c r="AH251" s="104"/>
      <c r="AI251" s="104"/>
      <c r="AJ251" s="104"/>
    </row>
    <row r="252" spans="1:36" x14ac:dyDescent="0.6">
      <c r="B252" s="336" t="s">
        <v>218</v>
      </c>
      <c r="C252" s="336"/>
      <c r="D252" s="339"/>
      <c r="E252" s="339"/>
      <c r="F252" s="339"/>
      <c r="G252" s="339">
        <f t="shared" si="79"/>
        <v>-1.32558139534882</v>
      </c>
      <c r="H252" s="339">
        <f t="shared" si="79"/>
        <v>-96</v>
      </c>
      <c r="I252" s="339">
        <f t="shared" si="79"/>
        <v>-8</v>
      </c>
      <c r="J252" s="339">
        <f t="shared" si="79"/>
        <v>110.29999999999995</v>
      </c>
      <c r="K252" s="875">
        <v>197.536</v>
      </c>
      <c r="L252" s="339"/>
      <c r="M252" s="489">
        <v>340.5</v>
      </c>
      <c r="N252" s="489">
        <v>270.27699999999999</v>
      </c>
      <c r="O252" s="489">
        <v>301.63</v>
      </c>
      <c r="P252" s="489">
        <v>300</v>
      </c>
      <c r="Q252" s="339"/>
      <c r="R252" s="489">
        <v>316</v>
      </c>
      <c r="S252" s="489">
        <v>359</v>
      </c>
      <c r="T252" s="489">
        <v>401</v>
      </c>
      <c r="U252" s="489">
        <v>512</v>
      </c>
      <c r="V252" s="339"/>
      <c r="W252" s="489">
        <v>615</v>
      </c>
      <c r="X252" s="489">
        <v>623.44899999999996</v>
      </c>
      <c r="Y252" s="339">
        <f t="shared" si="80"/>
        <v>751.93674418604678</v>
      </c>
      <c r="Z252" s="339">
        <f t="shared" si="80"/>
        <v>902.75215681980535</v>
      </c>
      <c r="AA252" s="339"/>
      <c r="AB252" s="339"/>
      <c r="AC252" s="104"/>
      <c r="AD252" s="104"/>
      <c r="AE252" s="104"/>
      <c r="AF252" s="104"/>
      <c r="AH252" s="104"/>
      <c r="AI252" s="104"/>
      <c r="AJ252" s="104"/>
    </row>
    <row r="253" spans="1:36" x14ac:dyDescent="0.6">
      <c r="B253" s="342" t="s">
        <v>419</v>
      </c>
      <c r="C253" s="342"/>
      <c r="D253" s="525"/>
      <c r="E253" s="525"/>
      <c r="F253" s="525"/>
      <c r="G253" s="525"/>
      <c r="H253" s="525"/>
      <c r="I253" s="525"/>
      <c r="J253" s="525"/>
      <c r="K253" s="876"/>
      <c r="L253" s="525"/>
      <c r="M253" s="490"/>
      <c r="N253" s="490"/>
      <c r="O253" s="490"/>
      <c r="P253" s="490"/>
      <c r="Q253" s="525"/>
      <c r="R253" s="525"/>
      <c r="S253" s="525"/>
      <c r="T253" s="525"/>
      <c r="U253" s="525"/>
      <c r="V253" s="525"/>
      <c r="W253" s="525">
        <f t="shared" si="80"/>
        <v>0</v>
      </c>
      <c r="X253" s="525">
        <f t="shared" ref="X253" si="81">X247-X235</f>
        <v>0</v>
      </c>
      <c r="Y253" s="525">
        <f t="shared" si="80"/>
        <v>0</v>
      </c>
      <c r="Z253" s="525">
        <f t="shared" si="80"/>
        <v>0</v>
      </c>
      <c r="AA253" s="339"/>
      <c r="AB253" s="339"/>
      <c r="AC253" s="104"/>
      <c r="AD253" s="104"/>
      <c r="AE253" s="104"/>
      <c r="AF253" s="104"/>
      <c r="AH253" s="104"/>
      <c r="AI253" s="104"/>
      <c r="AJ253" s="104"/>
    </row>
    <row r="254" spans="1:36" x14ac:dyDescent="0.6">
      <c r="B254" s="336" t="s">
        <v>449</v>
      </c>
      <c r="C254" s="336"/>
      <c r="D254" s="339"/>
      <c r="E254" s="339"/>
      <c r="F254" s="339"/>
      <c r="G254" s="339">
        <f>G248-G236</f>
        <v>208.77441860465115</v>
      </c>
      <c r="H254" s="339">
        <f>H248-H236</f>
        <v>-401</v>
      </c>
      <c r="I254" s="339">
        <f>I248-I236</f>
        <v>479</v>
      </c>
      <c r="J254" s="339">
        <f>J248-J236</f>
        <v>416.80000000000018</v>
      </c>
      <c r="K254" s="339">
        <f>K248-K236</f>
        <v>588.21500000000015</v>
      </c>
      <c r="L254" s="339"/>
      <c r="M254" s="339">
        <f>SUM(M251:M252)</f>
        <v>920.90899999999999</v>
      </c>
      <c r="N254" s="339">
        <f>SUM(N251:N252)</f>
        <v>967.62400000000002</v>
      </c>
      <c r="O254" s="339">
        <f>SUM(O251:O252)</f>
        <v>1125.954</v>
      </c>
      <c r="P254" s="339">
        <f>SUM(P251:P252)</f>
        <v>1351</v>
      </c>
      <c r="Q254" s="339"/>
      <c r="R254" s="339">
        <f>SUM(R251:R252)</f>
        <v>1632</v>
      </c>
      <c r="S254" s="339">
        <f>SUM(S251:S252)</f>
        <v>2033</v>
      </c>
      <c r="T254" s="339">
        <f>SUM(T251:T252)</f>
        <v>2252</v>
      </c>
      <c r="U254" s="339">
        <f>SUM(U251:U252)</f>
        <v>2608</v>
      </c>
      <c r="V254" s="339"/>
      <c r="W254" s="339">
        <f>W248-W236</f>
        <v>2912</v>
      </c>
      <c r="X254" s="339">
        <f>X248-X236</f>
        <v>2936.4490000000005</v>
      </c>
      <c r="Y254" s="339">
        <f t="shared" si="80"/>
        <v>3218.8087788180819</v>
      </c>
      <c r="Z254" s="339">
        <f t="shared" si="80"/>
        <v>3340.8574893139121</v>
      </c>
      <c r="AA254" s="339"/>
      <c r="AB254" s="339"/>
      <c r="AC254" s="104"/>
      <c r="AD254" s="104"/>
      <c r="AE254" s="104"/>
      <c r="AF254" s="104"/>
      <c r="AH254" s="104"/>
      <c r="AI254" s="104"/>
      <c r="AJ254" s="104"/>
    </row>
    <row r="255" spans="1:36" x14ac:dyDescent="0.6">
      <c r="B255" s="336"/>
      <c r="C255" s="336"/>
      <c r="D255" s="339"/>
      <c r="E255" s="339"/>
      <c r="F255" s="339"/>
      <c r="G255" s="339"/>
      <c r="H255" s="339"/>
      <c r="I255" s="339"/>
      <c r="J255" s="339"/>
      <c r="K255" s="339"/>
      <c r="L255" s="339"/>
      <c r="M255" s="339"/>
      <c r="N255" s="339"/>
      <c r="O255" s="339"/>
      <c r="P255" s="339"/>
      <c r="Q255" s="339"/>
      <c r="R255" s="339"/>
      <c r="S255" s="339"/>
      <c r="T255" s="339"/>
      <c r="U255" s="339"/>
      <c r="V255" s="339"/>
      <c r="W255" s="339"/>
      <c r="X255" s="852"/>
      <c r="Y255" s="1098"/>
      <c r="Z255" s="1098"/>
      <c r="AA255" s="339"/>
      <c r="AB255" s="339"/>
      <c r="AC255" s="104"/>
      <c r="AD255" s="104"/>
      <c r="AE255" s="104"/>
      <c r="AF255" s="104"/>
      <c r="AH255" s="104"/>
      <c r="AI255" s="104"/>
      <c r="AJ255" s="104"/>
    </row>
    <row r="256" spans="1:36" x14ac:dyDescent="0.6">
      <c r="B256" s="336"/>
      <c r="C256" s="336"/>
      <c r="D256" s="339"/>
      <c r="E256" s="339"/>
      <c r="F256" s="339"/>
      <c r="G256" s="339"/>
      <c r="H256" s="339"/>
      <c r="I256" s="339"/>
      <c r="J256" s="339"/>
      <c r="K256" s="339"/>
      <c r="L256" s="339"/>
      <c r="M256" s="339"/>
      <c r="N256" s="339"/>
      <c r="O256" s="339"/>
      <c r="P256" s="339"/>
      <c r="Q256" s="339"/>
      <c r="R256" s="339"/>
      <c r="S256" s="339"/>
      <c r="T256" s="339"/>
      <c r="U256" s="339"/>
      <c r="V256" s="339"/>
      <c r="W256" s="339"/>
      <c r="X256" s="339"/>
      <c r="Y256" s="1098"/>
      <c r="Z256" s="1098"/>
      <c r="AA256" s="339"/>
      <c r="AB256" s="339"/>
      <c r="AC256" s="104"/>
      <c r="AD256" s="104"/>
      <c r="AE256" s="104"/>
      <c r="AF256" s="104"/>
      <c r="AH256" s="104"/>
      <c r="AI256" s="104"/>
      <c r="AJ256" s="104"/>
    </row>
    <row r="257" spans="2:36" x14ac:dyDescent="0.6">
      <c r="B257" s="336"/>
      <c r="C257" s="336"/>
      <c r="D257" s="339"/>
      <c r="E257" s="339"/>
      <c r="F257" s="339"/>
      <c r="G257" s="339"/>
      <c r="H257" s="339"/>
      <c r="I257" s="339"/>
      <c r="J257" s="339"/>
      <c r="K257" s="339"/>
      <c r="L257" s="339"/>
      <c r="M257" s="339"/>
      <c r="N257" s="339"/>
      <c r="O257" s="339"/>
      <c r="P257" s="339"/>
      <c r="Q257" s="339"/>
      <c r="R257" s="339"/>
      <c r="S257" s="339"/>
      <c r="T257" s="339"/>
      <c r="U257" s="339"/>
      <c r="V257" s="339"/>
      <c r="W257" s="339"/>
      <c r="X257" s="339"/>
      <c r="Y257" s="1106"/>
      <c r="Z257" s="1106"/>
      <c r="AA257" s="339"/>
      <c r="AB257" s="339"/>
      <c r="AC257" s="104"/>
      <c r="AD257" s="104"/>
      <c r="AE257" s="104"/>
      <c r="AF257" s="104"/>
      <c r="AH257" s="104"/>
      <c r="AI257" s="104"/>
      <c r="AJ257" s="104"/>
    </row>
    <row r="258" spans="2:36" x14ac:dyDescent="0.6">
      <c r="B258" s="336" t="str">
        <f>B251</f>
        <v>Credit cards</v>
      </c>
      <c r="C258" s="336"/>
      <c r="D258" s="339"/>
      <c r="E258" s="339"/>
      <c r="F258" s="339"/>
      <c r="G258" s="339"/>
      <c r="H258" s="1045"/>
      <c r="I258" s="1045"/>
      <c r="J258" s="1045"/>
      <c r="K258" s="1045">
        <f>K251/K245</f>
        <v>7.5549308968032233E-2</v>
      </c>
      <c r="L258" s="339"/>
      <c r="M258" s="1045">
        <f t="shared" ref="M258:P259" si="82">M251/M245</f>
        <v>8.5173783962776528E-2</v>
      </c>
      <c r="N258" s="1045">
        <f t="shared" si="82"/>
        <v>9.7180153841715855E-2</v>
      </c>
      <c r="O258" s="1045">
        <f t="shared" si="82"/>
        <v>0.10551655139503591</v>
      </c>
      <c r="P258" s="1045">
        <f t="shared" si="82"/>
        <v>0.11320551486428264</v>
      </c>
      <c r="Q258" s="1045"/>
      <c r="R258" s="1045">
        <f t="shared" ref="R258:T259" si="83">R251/R245</f>
        <v>0.12564445293106741</v>
      </c>
      <c r="S258" s="1045">
        <f t="shared" si="83"/>
        <v>0.13878295473387497</v>
      </c>
      <c r="T258" s="1045">
        <f t="shared" si="83"/>
        <v>0.14992103025148829</v>
      </c>
      <c r="U258" s="1045">
        <f t="shared" ref="U258" si="84">U251/U245</f>
        <v>0.14445210199862163</v>
      </c>
      <c r="V258" s="1045"/>
      <c r="W258" s="1045">
        <f t="shared" ref="W258:X258" si="85">W251/W245</f>
        <v>0.15218269874185919</v>
      </c>
      <c r="X258" s="1045">
        <f t="shared" si="85"/>
        <v>0.16129707112970712</v>
      </c>
      <c r="Y258" s="1107">
        <v>0.16</v>
      </c>
      <c r="Z258" s="1045">
        <f>Z251/Z245</f>
        <v>0.15000000000000005</v>
      </c>
      <c r="AA258" s="339"/>
      <c r="AB258" s="339"/>
      <c r="AC258" s="104" t="s">
        <v>1425</v>
      </c>
      <c r="AD258" s="32" t="s">
        <v>1426</v>
      </c>
      <c r="AE258" s="104" t="s">
        <v>1428</v>
      </c>
      <c r="AF258" s="104" t="s">
        <v>1429</v>
      </c>
      <c r="AG258" s="104" t="s">
        <v>1430</v>
      </c>
      <c r="AH258" s="104"/>
      <c r="AI258" s="104"/>
      <c r="AJ258" s="104"/>
    </row>
    <row r="259" spans="2:36" x14ac:dyDescent="0.6">
      <c r="B259" s="336" t="str">
        <f>B252</f>
        <v>Personal loans</v>
      </c>
      <c r="C259" s="336"/>
      <c r="D259" s="339"/>
      <c r="E259" s="339"/>
      <c r="F259" s="339"/>
      <c r="G259" s="339"/>
      <c r="H259" s="1045"/>
      <c r="I259" s="1045"/>
      <c r="J259" s="1045"/>
      <c r="K259" s="1045">
        <f>K252/K246</f>
        <v>0.14187278162180952</v>
      </c>
      <c r="L259" s="339"/>
      <c r="M259" s="1045">
        <f t="shared" si="82"/>
        <v>0.16961394769613947</v>
      </c>
      <c r="N259" s="1045">
        <f t="shared" si="82"/>
        <v>0.13888470663440305</v>
      </c>
      <c r="O259" s="1045">
        <f t="shared" si="82"/>
        <v>0.15835798680656363</v>
      </c>
      <c r="P259" s="1045">
        <f t="shared" si="82"/>
        <v>0.15205271160669032</v>
      </c>
      <c r="Q259" s="339"/>
      <c r="R259" s="1045">
        <f t="shared" si="83"/>
        <v>0.13527397260273974</v>
      </c>
      <c r="S259" s="1045">
        <f t="shared" si="83"/>
        <v>0.12858166189111747</v>
      </c>
      <c r="T259" s="1045">
        <f t="shared" si="83"/>
        <v>0.1297324018482176</v>
      </c>
      <c r="U259" s="1045">
        <f t="shared" ref="U259" si="86">U252/U246</f>
        <v>0.13785675821217017</v>
      </c>
      <c r="V259" s="339"/>
      <c r="W259" s="1045">
        <f t="shared" ref="W259:X259" si="87">W252/W246</f>
        <v>0.13730743469524448</v>
      </c>
      <c r="X259" s="1045">
        <f t="shared" si="87"/>
        <v>0.13461208360493659</v>
      </c>
      <c r="Y259" s="1046">
        <v>0.14000000000000001</v>
      </c>
      <c r="Z259" s="852">
        <f>Z252/Z246</f>
        <v>0.15000000000000005</v>
      </c>
      <c r="AA259" s="339"/>
      <c r="AB259" s="339"/>
      <c r="AC259" s="104"/>
      <c r="AD259" s="104"/>
      <c r="AE259" s="104"/>
      <c r="AF259" s="104"/>
      <c r="AH259" s="104"/>
      <c r="AI259" s="104"/>
      <c r="AJ259" s="104"/>
    </row>
    <row r="260" spans="2:36" x14ac:dyDescent="0.6">
      <c r="B260" s="336" t="str">
        <f>B253</f>
        <v>Payroll</v>
      </c>
      <c r="C260" s="336"/>
      <c r="D260" s="339"/>
      <c r="E260" s="339"/>
      <c r="F260" s="339"/>
      <c r="G260" s="339"/>
      <c r="H260" s="339"/>
      <c r="I260" s="339"/>
      <c r="J260" s="339"/>
      <c r="K260" s="339"/>
      <c r="L260" s="339"/>
      <c r="M260" s="339"/>
      <c r="N260" s="339"/>
      <c r="O260" s="339"/>
      <c r="P260" s="339"/>
      <c r="Q260" s="339"/>
      <c r="R260" s="339"/>
      <c r="S260" s="339"/>
      <c r="T260" s="339"/>
      <c r="U260" s="339"/>
      <c r="V260" s="339"/>
      <c r="W260" s="339"/>
      <c r="X260" s="339"/>
      <c r="Y260" s="339"/>
      <c r="Z260" s="339"/>
      <c r="AA260" s="339"/>
      <c r="AB260" s="339"/>
      <c r="AC260" s="104" t="s">
        <v>1431</v>
      </c>
      <c r="AD260" s="104" t="s">
        <v>1426</v>
      </c>
      <c r="AE260" s="104" t="s">
        <v>1432</v>
      </c>
      <c r="AF260" s="104" t="s">
        <v>1433</v>
      </c>
      <c r="AH260" s="104"/>
      <c r="AI260" s="104"/>
      <c r="AJ260" s="104"/>
    </row>
    <row r="261" spans="2:36" x14ac:dyDescent="0.6">
      <c r="B261" s="336" t="s">
        <v>593</v>
      </c>
      <c r="C261" s="336"/>
      <c r="D261" s="339"/>
      <c r="E261" s="339"/>
      <c r="F261" s="339"/>
      <c r="G261" s="339"/>
      <c r="H261" s="1045">
        <f>H254/H248</f>
        <v>-0.1215519854501364</v>
      </c>
      <c r="I261" s="1045">
        <f>I254/I248</f>
        <v>0.1023723017738833</v>
      </c>
      <c r="J261" s="1045">
        <f>J254/J248</f>
        <v>7.9074179472585882E-2</v>
      </c>
      <c r="K261" s="1045">
        <f>K254/K248</f>
        <v>8.961876430728917E-2</v>
      </c>
      <c r="L261" s="822"/>
      <c r="M261" s="1045">
        <f>M254/M248</f>
        <v>0.1043888573323529</v>
      </c>
      <c r="N261" s="1045">
        <f>N254/N248</f>
        <v>0.10607737229318111</v>
      </c>
      <c r="O261" s="1045">
        <f>O254/O248</f>
        <v>0.11587456919604977</v>
      </c>
      <c r="P261" s="1045">
        <f>P254/P248</f>
        <v>0.12001421337834237</v>
      </c>
      <c r="Q261" s="339"/>
      <c r="R261" s="1045">
        <f>R254/R248</f>
        <v>0.12740046838407496</v>
      </c>
      <c r="S261" s="1045">
        <f>S254/S248</f>
        <v>0.13686549077689511</v>
      </c>
      <c r="T261" s="1045">
        <f>T254/T248</f>
        <v>0.14587875040210585</v>
      </c>
      <c r="U261" s="1045">
        <f>U254/U248</f>
        <v>0.1431079894644425</v>
      </c>
      <c r="V261" s="339"/>
      <c r="W261" s="1045">
        <f>W254/W248</f>
        <v>0.14877865598512213</v>
      </c>
      <c r="X261" s="1045">
        <f>X254/X248</f>
        <v>0.15478253664229866</v>
      </c>
      <c r="Y261" s="1045">
        <f>Y254/Y248</f>
        <v>0.15436034068153873</v>
      </c>
      <c r="Z261" s="1045">
        <f>Z254/Z248</f>
        <v>0.14892855431816818</v>
      </c>
      <c r="AA261" s="339"/>
      <c r="AB261" s="339"/>
      <c r="AC261" s="104"/>
      <c r="AD261" s="104"/>
      <c r="AE261" s="104"/>
      <c r="AF261" s="104"/>
      <c r="AH261" s="104"/>
      <c r="AI261" s="104"/>
      <c r="AJ261" s="104"/>
    </row>
    <row r="262" spans="2:36" x14ac:dyDescent="0.6">
      <c r="B262" s="336"/>
      <c r="C262" s="336"/>
      <c r="D262" s="339"/>
      <c r="E262" s="339"/>
      <c r="F262" s="339"/>
      <c r="G262" s="339"/>
      <c r="H262" s="339"/>
      <c r="I262" s="339"/>
      <c r="J262" s="339"/>
      <c r="K262" s="339"/>
      <c r="L262" s="339"/>
      <c r="M262" s="339"/>
      <c r="N262" s="339"/>
      <c r="O262" s="339"/>
      <c r="P262" s="339"/>
      <c r="Q262" s="339"/>
      <c r="R262" s="339"/>
      <c r="S262" s="339"/>
      <c r="T262" s="339"/>
      <c r="U262" s="339"/>
      <c r="V262" s="339"/>
      <c r="W262" s="339"/>
      <c r="X262" s="339"/>
      <c r="Y262" s="339"/>
      <c r="Z262" s="339"/>
      <c r="AA262" s="339"/>
      <c r="AB262" s="339"/>
      <c r="AC262" s="104" t="s">
        <v>1425</v>
      </c>
      <c r="AD262" s="104" t="s">
        <v>1426</v>
      </c>
      <c r="AE262" s="104" t="s">
        <v>1433</v>
      </c>
      <c r="AF262" s="104" t="s">
        <v>1434</v>
      </c>
      <c r="AG262" s="32" t="s">
        <v>1427</v>
      </c>
      <c r="AH262" s="104" t="s">
        <v>1433</v>
      </c>
      <c r="AI262" s="104"/>
      <c r="AJ262" s="104"/>
    </row>
    <row r="263" spans="2:36" x14ac:dyDescent="0.6">
      <c r="B263" s="821" t="s">
        <v>1100</v>
      </c>
      <c r="C263" s="336"/>
      <c r="D263" s="339"/>
      <c r="E263" s="339"/>
      <c r="F263" s="339"/>
      <c r="G263" s="823">
        <v>5.1985000000000001</v>
      </c>
      <c r="H263" s="823">
        <v>5.6337000000000002</v>
      </c>
      <c r="I263" s="823">
        <v>4.9695999999999998</v>
      </c>
      <c r="J263" s="823">
        <v>5.4428999999999998</v>
      </c>
      <c r="K263" s="823">
        <v>5.5758000000000001</v>
      </c>
      <c r="L263" s="339"/>
      <c r="M263" s="823">
        <v>4.74</v>
      </c>
      <c r="N263" s="823">
        <v>5.26</v>
      </c>
      <c r="O263" s="823">
        <v>5.4154999999999998</v>
      </c>
      <c r="P263" s="823">
        <v>5.28</v>
      </c>
      <c r="Q263" s="339"/>
      <c r="R263" s="1183">
        <v>5.0599999999999996</v>
      </c>
      <c r="S263" s="1183">
        <v>4.79</v>
      </c>
      <c r="T263" s="1183">
        <v>5.04</v>
      </c>
      <c r="U263" s="1183">
        <v>4.8600000000000003</v>
      </c>
      <c r="V263" s="823"/>
      <c r="W263" s="1183">
        <v>5.01</v>
      </c>
      <c r="X263" s="1183">
        <v>5.59</v>
      </c>
      <c r="Y263" s="873">
        <v>5.5</v>
      </c>
      <c r="Z263" s="873">
        <v>5.5</v>
      </c>
      <c r="AA263" s="900">
        <f>AVERAGE(W263:Z263)</f>
        <v>5.4</v>
      </c>
      <c r="AB263" s="339"/>
      <c r="AC263" s="104"/>
      <c r="AD263" s="104"/>
      <c r="AE263" s="104"/>
      <c r="AF263" s="104"/>
      <c r="AH263" s="104"/>
      <c r="AI263" s="104"/>
      <c r="AJ263" s="104"/>
    </row>
    <row r="264" spans="2:36" x14ac:dyDescent="0.6">
      <c r="B264" s="336"/>
      <c r="C264" s="336"/>
      <c r="D264" s="339"/>
      <c r="E264" s="339"/>
      <c r="F264" s="339"/>
      <c r="G264" s="339"/>
      <c r="H264" s="339"/>
      <c r="I264" s="339"/>
      <c r="J264" s="339"/>
      <c r="K264" s="339"/>
      <c r="L264" s="339"/>
      <c r="M264" s="339"/>
      <c r="N264" s="339"/>
      <c r="O264" s="339"/>
      <c r="P264" s="339"/>
      <c r="Q264" s="339"/>
      <c r="R264" s="339"/>
      <c r="S264" s="339"/>
      <c r="T264" s="339"/>
      <c r="U264" s="339"/>
      <c r="V264" s="339"/>
      <c r="W264" s="339"/>
      <c r="X264" s="339"/>
      <c r="Y264" s="339"/>
      <c r="AA264" s="339"/>
      <c r="AB264" s="339"/>
      <c r="AC264" s="104"/>
      <c r="AD264" s="104"/>
      <c r="AE264" s="104"/>
      <c r="AF264" s="104"/>
      <c r="AH264" s="104"/>
      <c r="AI264" s="104"/>
      <c r="AJ264" s="104"/>
    </row>
    <row r="265" spans="2:36" x14ac:dyDescent="0.6">
      <c r="B265" s="336"/>
      <c r="C265" s="336"/>
      <c r="D265" s="339"/>
      <c r="E265" s="339"/>
      <c r="F265" s="339"/>
      <c r="G265" s="339"/>
      <c r="H265" s="339"/>
      <c r="I265" s="339"/>
      <c r="J265" s="339"/>
      <c r="K265" s="339"/>
      <c r="L265" s="339"/>
      <c r="M265" s="852">
        <f>M268/K268-1</f>
        <v>0.1860634018917211</v>
      </c>
      <c r="N265" s="852">
        <f>N268/M268-1</f>
        <v>0.11554673369123636</v>
      </c>
      <c r="O265" s="852">
        <f>O268/N268-1</f>
        <v>-1.5084848733651124E-2</v>
      </c>
      <c r="P265" s="852">
        <f>P268/O268-1</f>
        <v>1.7488090668645206E-2</v>
      </c>
      <c r="Q265" s="339"/>
      <c r="R265" s="852">
        <f>R268/P268-1</f>
        <v>0.15710300856744341</v>
      </c>
      <c r="S265" s="852">
        <f>S268/R268-1</f>
        <v>0.14018608382577402</v>
      </c>
      <c r="T265" s="852">
        <f>T268/S268-1</f>
        <v>0.16332655630178983</v>
      </c>
      <c r="U265" s="852">
        <f>U268/T268-1</f>
        <v>0.1478320109468767</v>
      </c>
      <c r="V265" s="339"/>
      <c r="W265" s="852"/>
      <c r="X265" s="852"/>
      <c r="Y265" s="339"/>
      <c r="Z265" s="339"/>
      <c r="AA265" s="339"/>
      <c r="AB265" s="339"/>
      <c r="AC265" s="104"/>
      <c r="AD265" s="104"/>
      <c r="AE265" s="104"/>
      <c r="AF265" s="104"/>
      <c r="AH265" s="104"/>
      <c r="AI265" s="104"/>
      <c r="AJ265" s="104"/>
    </row>
    <row r="266" spans="2:36" x14ac:dyDescent="0.6">
      <c r="B266" s="337" t="s">
        <v>1011</v>
      </c>
      <c r="C266" s="336"/>
      <c r="D266" s="339"/>
      <c r="E266" s="339"/>
      <c r="F266" s="339"/>
      <c r="G266" s="339"/>
      <c r="H266" s="339"/>
      <c r="I266" s="339"/>
      <c r="J266" s="339"/>
      <c r="K266" s="339"/>
      <c r="L266" s="339"/>
      <c r="M266" s="339"/>
      <c r="N266" s="339"/>
      <c r="O266" s="339"/>
      <c r="P266" s="339"/>
      <c r="Q266" s="339"/>
      <c r="R266" s="339"/>
      <c r="S266" s="339"/>
      <c r="T266" s="339"/>
      <c r="U266" s="339"/>
      <c r="V266" s="339"/>
      <c r="W266" s="339"/>
      <c r="X266" s="339"/>
      <c r="Y266" s="339"/>
      <c r="Z266" s="339"/>
      <c r="AA266" s="339"/>
      <c r="AB266" s="339"/>
      <c r="AC266" s="104"/>
      <c r="AD266" s="104"/>
      <c r="AE266" s="104"/>
      <c r="AF266" s="104"/>
      <c r="AH266" s="104"/>
      <c r="AI266" s="104"/>
      <c r="AJ266" s="104"/>
    </row>
    <row r="267" spans="2:36" x14ac:dyDescent="0.6">
      <c r="B267" s="336" t="s">
        <v>345</v>
      </c>
      <c r="C267" s="336"/>
      <c r="D267" s="339"/>
      <c r="E267" s="339"/>
      <c r="F267" s="339"/>
      <c r="G267" s="339">
        <f t="shared" ref="G267:K268" si="88">G233*G$263</f>
        <v>15121.916650000001</v>
      </c>
      <c r="H267" s="339">
        <f t="shared" si="88"/>
        <v>18591.21</v>
      </c>
      <c r="I267" s="339">
        <f t="shared" si="88"/>
        <v>17890.559999999998</v>
      </c>
      <c r="J267" s="339">
        <f t="shared" si="88"/>
        <v>22106.338349999998</v>
      </c>
      <c r="K267" s="339">
        <f t="shared" si="88"/>
        <v>26655.1119</v>
      </c>
      <c r="L267" s="339"/>
      <c r="M267" s="339">
        <f t="shared" ref="M267:P268" si="89">M233*M$263</f>
        <v>29549.16</v>
      </c>
      <c r="N267" s="339">
        <f t="shared" si="89"/>
        <v>34076.752200000003</v>
      </c>
      <c r="O267" s="339">
        <f t="shared" si="89"/>
        <v>37843.232393999999</v>
      </c>
      <c r="P267" s="339">
        <f t="shared" si="89"/>
        <v>43470.240000000005</v>
      </c>
      <c r="Q267" s="339"/>
      <c r="R267" s="339">
        <f t="shared" ref="R267:S267" si="90">R233*R$263</f>
        <v>46339.479999999996</v>
      </c>
      <c r="S267" s="339">
        <f t="shared" si="90"/>
        <v>49758.52</v>
      </c>
      <c r="T267" s="339">
        <f>T233*T$263</f>
        <v>52897.32</v>
      </c>
      <c r="U267" s="339">
        <f>U233*U$263</f>
        <v>60332.04</v>
      </c>
      <c r="V267" s="339"/>
      <c r="W267" s="339">
        <f t="shared" ref="W267:X267" si="91">W233*W$263</f>
        <v>64111.467000000004</v>
      </c>
      <c r="X267" s="339">
        <f t="shared" si="91"/>
        <v>67230.929999999993</v>
      </c>
      <c r="Y267" s="339">
        <f>X267+Y273</f>
        <v>71230.929999999993</v>
      </c>
      <c r="Z267" s="339">
        <f>Z233*Z$50</f>
        <v>75987.616196066389</v>
      </c>
      <c r="AA267" s="339"/>
      <c r="AB267" s="339"/>
      <c r="AC267" s="104"/>
      <c r="AD267" s="104"/>
      <c r="AE267" s="104"/>
      <c r="AF267" s="104"/>
      <c r="AH267" s="104"/>
      <c r="AI267" s="104"/>
      <c r="AJ267" s="104"/>
    </row>
    <row r="268" spans="2:36" x14ac:dyDescent="0.6">
      <c r="B268" s="336" t="s">
        <v>218</v>
      </c>
      <c r="C268" s="336"/>
      <c r="D268" s="339"/>
      <c r="E268" s="339"/>
      <c r="F268" s="339"/>
      <c r="G268" s="339">
        <f t="shared" si="88"/>
        <v>1051.7895348837208</v>
      </c>
      <c r="H268" s="339">
        <f t="shared" si="88"/>
        <v>2253.48</v>
      </c>
      <c r="I268" s="339">
        <f t="shared" si="88"/>
        <v>2981.7599999999998</v>
      </c>
      <c r="J268" s="339">
        <f t="shared" si="88"/>
        <v>4314.5868300000002</v>
      </c>
      <c r="K268" s="339">
        <f t="shared" si="88"/>
        <v>6662.0215979999994</v>
      </c>
      <c r="L268" s="339"/>
      <c r="M268" s="339">
        <f t="shared" si="89"/>
        <v>7901.58</v>
      </c>
      <c r="N268" s="339">
        <f t="shared" si="89"/>
        <v>8814.5817599999991</v>
      </c>
      <c r="O268" s="339">
        <f t="shared" si="89"/>
        <v>8681.6151274999993</v>
      </c>
      <c r="P268" s="339">
        <f t="shared" si="89"/>
        <v>8833.44</v>
      </c>
      <c r="Q268" s="339"/>
      <c r="R268" s="339">
        <f t="shared" ref="R268:T268" si="92">R234*R$263</f>
        <v>10221.199999999999</v>
      </c>
      <c r="S268" s="339">
        <f t="shared" si="92"/>
        <v>11654.07</v>
      </c>
      <c r="T268" s="339">
        <f t="shared" si="92"/>
        <v>13557.48912</v>
      </c>
      <c r="U268" s="339">
        <f t="shared" ref="U268" si="93">U234*U$263</f>
        <v>15561.720000000001</v>
      </c>
      <c r="V268" s="339"/>
      <c r="W268" s="339">
        <f t="shared" ref="W268:X268" si="94">W234*W$263</f>
        <v>19358.64</v>
      </c>
      <c r="X268" s="339">
        <f t="shared" si="94"/>
        <v>22404.720000000001</v>
      </c>
      <c r="Y268" s="339">
        <f>X268+Y274</f>
        <v>25404.720000000001</v>
      </c>
      <c r="Z268" s="339">
        <f>Z234*Z$50</f>
        <v>28135.775554217256</v>
      </c>
      <c r="AA268" s="339"/>
      <c r="AB268" s="339"/>
      <c r="AC268" s="104"/>
      <c r="AD268" s="104"/>
      <c r="AE268" s="104"/>
      <c r="AF268" s="104"/>
      <c r="AG268"/>
      <c r="AH268" s="104"/>
      <c r="AI268" s="104"/>
      <c r="AJ268" s="104"/>
    </row>
    <row r="269" spans="2:36" x14ac:dyDescent="0.6">
      <c r="B269" s="342" t="s">
        <v>419</v>
      </c>
      <c r="C269" s="342"/>
      <c r="D269" s="525"/>
      <c r="E269" s="525"/>
      <c r="F269" s="525"/>
      <c r="G269" s="525"/>
      <c r="H269" s="525"/>
      <c r="I269" s="525"/>
      <c r="J269" s="525"/>
      <c r="K269" s="525"/>
      <c r="L269" s="525"/>
      <c r="M269" s="525"/>
      <c r="N269" s="525"/>
      <c r="O269" s="525"/>
      <c r="P269" s="525"/>
      <c r="Q269" s="525"/>
      <c r="R269" s="525"/>
      <c r="S269" s="525"/>
      <c r="T269" s="525"/>
      <c r="U269" s="525"/>
      <c r="V269" s="525"/>
      <c r="W269" s="525"/>
      <c r="X269" s="525"/>
      <c r="Y269" s="525">
        <f>X269+Y275</f>
        <v>350</v>
      </c>
      <c r="Z269" s="525">
        <f>Z235*Z$50</f>
        <v>881.29552715654938</v>
      </c>
      <c r="AA269" s="339"/>
      <c r="AB269" s="339"/>
      <c r="AC269" s="104"/>
      <c r="AD269" s="104"/>
      <c r="AE269" s="104"/>
      <c r="AF269" s="104"/>
      <c r="AG269"/>
      <c r="AH269" s="104"/>
      <c r="AI269" s="104"/>
      <c r="AJ269" s="104"/>
    </row>
    <row r="270" spans="2:36" x14ac:dyDescent="0.6">
      <c r="B270" s="336" t="s">
        <v>449</v>
      </c>
      <c r="C270" s="336"/>
      <c r="D270" s="339"/>
      <c r="E270" s="339"/>
      <c r="F270" s="339"/>
      <c r="G270" s="339">
        <f>G236*G$263</f>
        <v>16173.706184883722</v>
      </c>
      <c r="H270" s="339">
        <f>H236*H$263</f>
        <v>20844.690000000002</v>
      </c>
      <c r="I270" s="339">
        <f>I236*I$263</f>
        <v>20872.32</v>
      </c>
      <c r="J270" s="339">
        <f>J236*J$263</f>
        <v>26420.925179999998</v>
      </c>
      <c r="K270" s="339">
        <f>K236*K$263</f>
        <v>33317.133497999996</v>
      </c>
      <c r="L270" s="339"/>
      <c r="M270" s="339">
        <f>M236*M$263</f>
        <v>37450.740000000005</v>
      </c>
      <c r="N270" s="339">
        <f>N236*N$263</f>
        <v>42891.333959999996</v>
      </c>
      <c r="O270" s="339">
        <f>O236*O$263</f>
        <v>46524.8475215</v>
      </c>
      <c r="P270" s="339">
        <f>P236*P$263</f>
        <v>52303.68</v>
      </c>
      <c r="Q270" s="339"/>
      <c r="R270" s="339">
        <f>R236*R$263</f>
        <v>56560.679999999993</v>
      </c>
      <c r="S270" s="339">
        <f>S236*S$263</f>
        <v>61412.590000000004</v>
      </c>
      <c r="T270" s="339">
        <f>T236*T$263</f>
        <v>66454.809119999991</v>
      </c>
      <c r="U270" s="339">
        <f>U236*U$263</f>
        <v>75893.760000000009</v>
      </c>
      <c r="V270" s="339"/>
      <c r="W270" s="339">
        <f>W236*W$263</f>
        <v>83470.107000000004</v>
      </c>
      <c r="X270" s="339">
        <f>X236*X$263</f>
        <v>89635.65</v>
      </c>
      <c r="Y270" s="339">
        <f>SUM(Y267:Y269)</f>
        <v>96985.65</v>
      </c>
      <c r="Z270" s="339">
        <f>SUM(Z267:Z269)</f>
        <v>105004.68727744019</v>
      </c>
      <c r="AA270" s="339"/>
      <c r="AB270" s="339"/>
      <c r="AC270" s="104"/>
      <c r="AD270" s="104"/>
      <c r="AE270" s="104"/>
      <c r="AF270" s="104"/>
      <c r="AH270" s="104"/>
      <c r="AI270" s="104"/>
      <c r="AJ270" s="104"/>
    </row>
    <row r="271" spans="2:36" x14ac:dyDescent="0.6">
      <c r="B271" s="336"/>
      <c r="C271" s="336"/>
      <c r="D271" s="339"/>
      <c r="E271" s="339"/>
      <c r="F271" s="339"/>
      <c r="G271" s="339"/>
      <c r="H271" s="339"/>
      <c r="I271" s="339"/>
      <c r="J271" s="339"/>
      <c r="K271" s="339"/>
      <c r="L271" s="339"/>
      <c r="M271" s="852">
        <f>M270/H270-1</f>
        <v>0.79665612681215214</v>
      </c>
      <c r="N271" s="852">
        <f>N270/I270-1</f>
        <v>1.0549385003679514</v>
      </c>
      <c r="O271" s="852">
        <f>O270/J270-1</f>
        <v>0.76090909779034477</v>
      </c>
      <c r="P271" s="852">
        <f>P270/K270-1</f>
        <v>0.56987335069326273</v>
      </c>
      <c r="Q271" s="339"/>
      <c r="R271" s="852">
        <f>R270/M270-1</f>
        <v>0.51026868894980404</v>
      </c>
      <c r="S271" s="852">
        <f>S270/N270-1</f>
        <v>0.43181813970329608</v>
      </c>
      <c r="T271" s="852">
        <f>T270/O270-1</f>
        <v>0.42837242162459499</v>
      </c>
      <c r="U271" s="852">
        <f>U270/P270-1</f>
        <v>0.45102141952535679</v>
      </c>
      <c r="V271" s="339"/>
      <c r="W271" s="852"/>
      <c r="X271" s="852"/>
      <c r="Y271" s="339"/>
      <c r="Z271" s="339"/>
      <c r="AA271" s="339"/>
      <c r="AB271" s="339"/>
      <c r="AC271" s="104"/>
      <c r="AD271" s="104"/>
      <c r="AE271" s="104"/>
      <c r="AF271" s="104"/>
      <c r="AH271" s="104"/>
      <c r="AI271" s="104"/>
      <c r="AJ271" s="104"/>
    </row>
    <row r="272" spans="2:36" x14ac:dyDescent="0.6">
      <c r="B272" s="337" t="s">
        <v>1013</v>
      </c>
      <c r="C272" s="336"/>
      <c r="D272" s="339"/>
      <c r="E272" s="339"/>
      <c r="F272" s="339"/>
      <c r="G272" s="339"/>
      <c r="H272" s="339"/>
      <c r="I272" s="339"/>
      <c r="J272" s="339"/>
      <c r="K272" s="339"/>
      <c r="L272" s="339"/>
      <c r="M272" s="339"/>
      <c r="N272" s="339"/>
      <c r="O272" s="339"/>
      <c r="P272" s="339"/>
      <c r="Q272" s="339"/>
      <c r="R272" s="339"/>
      <c r="S272" s="339"/>
      <c r="T272" s="339"/>
      <c r="U272" s="339"/>
      <c r="V272" s="339"/>
      <c r="W272" s="339"/>
      <c r="X272" s="339"/>
      <c r="Y272" s="339"/>
      <c r="Z272" s="339"/>
      <c r="AA272" s="339"/>
      <c r="AB272" s="339"/>
      <c r="AC272" s="104"/>
      <c r="AD272" s="104"/>
      <c r="AE272" s="104"/>
      <c r="AF272" s="104"/>
      <c r="AH272" s="104"/>
      <c r="AI272" s="104"/>
      <c r="AJ272" s="104"/>
    </row>
    <row r="273" spans="2:36" x14ac:dyDescent="0.6">
      <c r="B273" s="336" t="s">
        <v>345</v>
      </c>
      <c r="C273" s="336"/>
      <c r="D273" s="339"/>
      <c r="E273" s="339"/>
      <c r="F273" s="339"/>
      <c r="G273" s="339"/>
      <c r="H273" s="339">
        <f t="shared" ref="H273:K274" si="95">H267-G267</f>
        <v>3469.2933499999981</v>
      </c>
      <c r="I273" s="339">
        <f t="shared" si="95"/>
        <v>-700.65000000000146</v>
      </c>
      <c r="J273" s="339">
        <f t="shared" si="95"/>
        <v>4215.7783500000005</v>
      </c>
      <c r="K273" s="339">
        <f t="shared" si="95"/>
        <v>4548.7735500000017</v>
      </c>
      <c r="L273" s="339"/>
      <c r="M273" s="339">
        <f>M267-K267</f>
        <v>2894.0481</v>
      </c>
      <c r="N273" s="339">
        <f t="shared" ref="N273:P274" si="96">N267-M267</f>
        <v>4527.5922000000028</v>
      </c>
      <c r="O273" s="339">
        <f t="shared" si="96"/>
        <v>3766.4801939999961</v>
      </c>
      <c r="P273" s="339">
        <f t="shared" si="96"/>
        <v>5627.0076060000065</v>
      </c>
      <c r="Q273" s="339"/>
      <c r="R273" s="339">
        <f>R267-P267</f>
        <v>2869.2399999999907</v>
      </c>
      <c r="S273" s="339">
        <f t="shared" ref="S273:U274" si="97">S267-R267</f>
        <v>3419.0400000000009</v>
      </c>
      <c r="T273" s="339">
        <f t="shared" si="97"/>
        <v>3138.8000000000029</v>
      </c>
      <c r="U273" s="339">
        <f t="shared" si="97"/>
        <v>7434.7200000000012</v>
      </c>
      <c r="V273" s="339"/>
      <c r="W273" s="339">
        <f>W267-U267</f>
        <v>3779.4270000000033</v>
      </c>
      <c r="X273" s="339">
        <f>X267-W267</f>
        <v>3119.4629999999888</v>
      </c>
      <c r="Y273" s="1258">
        <v>4000</v>
      </c>
      <c r="Z273" s="339">
        <f>Z267-Y267</f>
        <v>4756.6861960663955</v>
      </c>
      <c r="AA273" s="339"/>
      <c r="AB273" s="339"/>
      <c r="AC273" s="104"/>
      <c r="AD273" s="104"/>
      <c r="AE273" s="104"/>
      <c r="AF273" s="104"/>
      <c r="AH273" s="104"/>
      <c r="AI273" s="104"/>
      <c r="AJ273" s="104"/>
    </row>
    <row r="274" spans="2:36" x14ac:dyDescent="0.6">
      <c r="B274" s="336" t="s">
        <v>218</v>
      </c>
      <c r="C274" s="336"/>
      <c r="D274" s="339"/>
      <c r="E274" s="339"/>
      <c r="F274" s="339"/>
      <c r="G274" s="339"/>
      <c r="H274" s="339">
        <f t="shared" si="95"/>
        <v>1201.6904651162793</v>
      </c>
      <c r="I274" s="339">
        <f t="shared" si="95"/>
        <v>728.27999999999975</v>
      </c>
      <c r="J274" s="339">
        <f t="shared" si="95"/>
        <v>1332.8268300000004</v>
      </c>
      <c r="K274" s="339">
        <f t="shared" si="95"/>
        <v>2347.4347679999992</v>
      </c>
      <c r="L274" s="339"/>
      <c r="M274" s="339">
        <f>M268-K268</f>
        <v>1239.5584020000006</v>
      </c>
      <c r="N274" s="339">
        <f t="shared" si="96"/>
        <v>913.00175999999919</v>
      </c>
      <c r="O274" s="339">
        <f t="shared" si="96"/>
        <v>-132.96663249999983</v>
      </c>
      <c r="P274" s="339">
        <f t="shared" si="96"/>
        <v>151.82487250000122</v>
      </c>
      <c r="Q274" s="339"/>
      <c r="R274" s="339">
        <f>R268-P268</f>
        <v>1387.7599999999984</v>
      </c>
      <c r="S274" s="339">
        <f t="shared" si="97"/>
        <v>1432.8700000000008</v>
      </c>
      <c r="T274" s="339">
        <f t="shared" si="97"/>
        <v>1903.4191200000005</v>
      </c>
      <c r="U274" s="339">
        <f t="shared" si="97"/>
        <v>2004.230880000001</v>
      </c>
      <c r="V274" s="339"/>
      <c r="W274" s="339">
        <f>W268-U268</f>
        <v>3796.9199999999983</v>
      </c>
      <c r="X274" s="339">
        <f>X268-W268</f>
        <v>3046.0800000000017</v>
      </c>
      <c r="Y274" s="1258">
        <v>3000</v>
      </c>
      <c r="Z274" s="339">
        <f>Z268-Y268</f>
        <v>2731.0555542172551</v>
      </c>
      <c r="AA274" s="339"/>
      <c r="AB274" s="339"/>
      <c r="AC274" s="104"/>
      <c r="AD274" s="104"/>
      <c r="AE274" s="104"/>
      <c r="AF274" s="104"/>
      <c r="AG274"/>
      <c r="AH274" s="104"/>
      <c r="AI274" s="104"/>
      <c r="AJ274" s="104"/>
    </row>
    <row r="275" spans="2:36" x14ac:dyDescent="0.6">
      <c r="B275" s="342" t="s">
        <v>419</v>
      </c>
      <c r="C275" s="342"/>
      <c r="D275" s="525"/>
      <c r="E275" s="525"/>
      <c r="F275" s="525"/>
      <c r="G275" s="525"/>
      <c r="H275" s="525"/>
      <c r="I275" s="525"/>
      <c r="J275" s="525"/>
      <c r="K275" s="525"/>
      <c r="L275" s="525"/>
      <c r="M275" s="525"/>
      <c r="N275" s="525"/>
      <c r="O275" s="525"/>
      <c r="P275" s="525"/>
      <c r="Q275" s="525"/>
      <c r="R275" s="525"/>
      <c r="S275" s="525"/>
      <c r="T275" s="525"/>
      <c r="U275" s="525"/>
      <c r="V275" s="525"/>
      <c r="W275" s="525"/>
      <c r="X275" s="525"/>
      <c r="Y275" s="1259">
        <v>350</v>
      </c>
      <c r="Z275" s="525">
        <f>Z269-Y269</f>
        <v>531.29552715654938</v>
      </c>
      <c r="AA275" s="339"/>
      <c r="AB275" s="339"/>
      <c r="AC275" s="104"/>
      <c r="AD275" s="104"/>
      <c r="AE275" s="104"/>
      <c r="AF275" s="104"/>
      <c r="AG275"/>
      <c r="AH275" s="104"/>
      <c r="AI275" s="104"/>
      <c r="AJ275" s="104"/>
    </row>
    <row r="276" spans="2:36" x14ac:dyDescent="0.6">
      <c r="B276" s="336" t="s">
        <v>353</v>
      </c>
      <c r="C276" s="336"/>
      <c r="D276" s="339"/>
      <c r="E276" s="339"/>
      <c r="F276" s="339"/>
      <c r="G276" s="339"/>
      <c r="H276" s="339">
        <f>H270-G270</f>
        <v>4670.9838151162803</v>
      </c>
      <c r="I276" s="339">
        <f>I270-H270</f>
        <v>27.629999999997381</v>
      </c>
      <c r="J276" s="339">
        <f>J270-I270</f>
        <v>5548.6051799999987</v>
      </c>
      <c r="K276" s="339">
        <f>K270-J270</f>
        <v>6896.2083179999972</v>
      </c>
      <c r="L276" s="339"/>
      <c r="M276" s="339">
        <f>M270-K270</f>
        <v>4133.6065020000096</v>
      </c>
      <c r="N276" s="339">
        <f>N270-M270</f>
        <v>5440.5939599999911</v>
      </c>
      <c r="O276" s="339">
        <f>O270-N270</f>
        <v>3633.5135615000036</v>
      </c>
      <c r="P276" s="339">
        <f>P270-O270</f>
        <v>5778.8324785000004</v>
      </c>
      <c r="Q276" s="339"/>
      <c r="R276" s="339">
        <f>R270-P270</f>
        <v>4256.9999999999927</v>
      </c>
      <c r="S276" s="339">
        <f>S270-R270</f>
        <v>4851.9100000000108</v>
      </c>
      <c r="T276" s="339">
        <f>T270-S270</f>
        <v>5042.219119999987</v>
      </c>
      <c r="U276" s="339">
        <f>U270-T270</f>
        <v>9438.9508800000185</v>
      </c>
      <c r="V276" s="339"/>
      <c r="W276" s="339">
        <f>W270-U270</f>
        <v>7576.3469999999943</v>
      </c>
      <c r="X276" s="339">
        <f>X270-W270</f>
        <v>6165.5429999999906</v>
      </c>
      <c r="Y276" s="339">
        <f>Y273+Y274+Y275</f>
        <v>7350</v>
      </c>
      <c r="Z276" s="339">
        <f>Z273+Z274+Z275</f>
        <v>8019.0372774402003</v>
      </c>
      <c r="AA276" s="339"/>
      <c r="AB276" s="339"/>
      <c r="AC276" s="104"/>
      <c r="AD276" s="104"/>
      <c r="AE276" s="104"/>
      <c r="AF276" s="104"/>
      <c r="AH276" s="104"/>
      <c r="AI276" s="104"/>
      <c r="AJ276" s="104"/>
    </row>
    <row r="277" spans="2:36" x14ac:dyDescent="0.6">
      <c r="B277" s="336"/>
      <c r="C277" s="336"/>
      <c r="D277" s="339"/>
      <c r="E277" s="339"/>
      <c r="F277" s="339"/>
      <c r="G277" s="339"/>
      <c r="H277" s="339"/>
      <c r="I277" s="339"/>
      <c r="J277" s="339"/>
      <c r="K277" s="339"/>
      <c r="L277" s="339"/>
      <c r="M277" s="532"/>
      <c r="N277" s="852">
        <f>N268/M268-1</f>
        <v>0.11554673369123636</v>
      </c>
      <c r="O277" s="852">
        <f>O268/N268-1</f>
        <v>-1.5084848733651124E-2</v>
      </c>
      <c r="P277" s="852">
        <f>P268/O268-1</f>
        <v>1.7488090668645206E-2</v>
      </c>
      <c r="Q277" s="339"/>
      <c r="R277" s="852">
        <f>R268/P268-1</f>
        <v>0.15710300856744341</v>
      </c>
      <c r="S277" s="852">
        <f>S268/R268-1</f>
        <v>0.14018608382577402</v>
      </c>
      <c r="T277" s="852">
        <f>T268/S268-1</f>
        <v>0.16332655630178983</v>
      </c>
      <c r="U277" s="852">
        <f>U268/T268-1</f>
        <v>0.1478320109468767</v>
      </c>
      <c r="V277" s="339"/>
      <c r="W277" s="852">
        <f>W268/U268-1</f>
        <v>0.24399102412843821</v>
      </c>
      <c r="X277" s="852">
        <f>X268/W268-1</f>
        <v>0.15734989648033126</v>
      </c>
      <c r="Y277" s="852">
        <f>Y268/X268-1</f>
        <v>0.13390035671055034</v>
      </c>
      <c r="Z277" s="852">
        <f>Z268/Y268-1</f>
        <v>0.10750189548309352</v>
      </c>
      <c r="AA277" s="339"/>
      <c r="AB277" s="339"/>
      <c r="AC277" s="104"/>
      <c r="AD277" s="104"/>
      <c r="AE277" s="104"/>
      <c r="AF277" s="104"/>
      <c r="AH277" s="104"/>
      <c r="AI277" s="104"/>
      <c r="AJ277" s="104"/>
    </row>
    <row r="278" spans="2:36" x14ac:dyDescent="0.6">
      <c r="B278" s="337" t="s">
        <v>2330</v>
      </c>
      <c r="C278" s="336"/>
      <c r="D278" s="339"/>
      <c r="E278" s="339"/>
      <c r="F278" s="339"/>
      <c r="G278" s="339"/>
      <c r="H278" s="339"/>
      <c r="I278" s="339"/>
      <c r="J278" s="339"/>
      <c r="K278" s="339"/>
      <c r="L278" s="339"/>
      <c r="M278" s="532"/>
      <c r="N278" s="852"/>
      <c r="O278" s="852"/>
      <c r="P278" s="852"/>
      <c r="Q278" s="339"/>
      <c r="R278" s="852"/>
      <c r="S278" s="852"/>
      <c r="T278" s="852"/>
      <c r="U278" s="852"/>
      <c r="V278" s="339"/>
      <c r="W278" s="852"/>
      <c r="X278" s="852"/>
      <c r="Y278" s="852"/>
      <c r="Z278" s="852"/>
      <c r="AA278" s="339"/>
      <c r="AB278" s="339"/>
      <c r="AC278" s="104"/>
      <c r="AD278" s="104"/>
      <c r="AE278" s="104"/>
      <c r="AF278" s="104"/>
      <c r="AH278" s="104"/>
      <c r="AI278" s="104"/>
      <c r="AJ278" s="104"/>
    </row>
    <row r="279" spans="2:36" x14ac:dyDescent="0.6">
      <c r="B279" s="336" t="str">
        <f>B273</f>
        <v>Credit cards</v>
      </c>
      <c r="C279" s="336"/>
      <c r="D279" s="339"/>
      <c r="E279" s="339"/>
      <c r="F279" s="339"/>
      <c r="G279" s="339"/>
      <c r="H279" s="339">
        <f t="shared" ref="H279:K282" si="98">H285-H267</f>
        <v>-1718.2785000000003</v>
      </c>
      <c r="I279" s="339">
        <f t="shared" si="98"/>
        <v>2420.1952000000019</v>
      </c>
      <c r="J279" s="339">
        <f t="shared" si="98"/>
        <v>1668.2488499999999</v>
      </c>
      <c r="K279" s="339">
        <f t="shared" si="98"/>
        <v>2178.3479681999997</v>
      </c>
      <c r="L279" s="339"/>
      <c r="M279" s="339">
        <f t="shared" ref="M279:P282" si="99">M285-M267</f>
        <v>2751.1386600000005</v>
      </c>
      <c r="N279" s="339">
        <f t="shared" si="99"/>
        <v>3668.0452199999927</v>
      </c>
      <c r="O279" s="339">
        <f t="shared" si="99"/>
        <v>4464.1266219999961</v>
      </c>
      <c r="P279" s="339">
        <f t="shared" si="99"/>
        <v>5549.2799999999988</v>
      </c>
      <c r="Q279" s="339"/>
      <c r="R279" s="339">
        <f t="shared" ref="R279:U282" si="100">R285-R267</f>
        <v>6658.9599999999991</v>
      </c>
      <c r="S279" s="339">
        <f t="shared" si="100"/>
        <v>8018.4600000000064</v>
      </c>
      <c r="T279" s="339">
        <f t="shared" si="100"/>
        <v>9329.0400000000009</v>
      </c>
      <c r="U279" s="339">
        <f t="shared" si="100"/>
        <v>10186.560000000005</v>
      </c>
      <c r="V279" s="339"/>
      <c r="W279" s="339">
        <f t="shared" ref="W279:Z282" si="101">W285-W267</f>
        <v>11507.970000000001</v>
      </c>
      <c r="X279" s="339">
        <f t="shared" si="101"/>
        <v>12929.669999999998</v>
      </c>
      <c r="Y279" s="339">
        <f t="shared" si="101"/>
        <v>12929.669999999998</v>
      </c>
      <c r="Z279" s="339">
        <f t="shared" si="101"/>
        <v>13409.579328717591</v>
      </c>
      <c r="AA279" s="339"/>
      <c r="AB279" s="339"/>
      <c r="AC279" s="104"/>
      <c r="AD279" s="104"/>
      <c r="AE279" s="104"/>
      <c r="AF279" s="104"/>
      <c r="AH279" s="104"/>
      <c r="AI279" s="104"/>
      <c r="AJ279" s="104"/>
    </row>
    <row r="280" spans="2:36" x14ac:dyDescent="0.6">
      <c r="B280" s="336" t="str">
        <f>B274</f>
        <v>Personal loans</v>
      </c>
      <c r="C280" s="336"/>
      <c r="D280" s="339"/>
      <c r="E280" s="339"/>
      <c r="F280" s="339"/>
      <c r="G280" s="339"/>
      <c r="H280" s="339">
        <f t="shared" si="98"/>
        <v>-540.83519999999999</v>
      </c>
      <c r="I280" s="339">
        <f t="shared" si="98"/>
        <v>-39.756799999999657</v>
      </c>
      <c r="J280" s="339">
        <f t="shared" si="98"/>
        <v>600.35186999999951</v>
      </c>
      <c r="K280" s="339">
        <f t="shared" si="98"/>
        <v>1101.4212288000008</v>
      </c>
      <c r="L280" s="339"/>
      <c r="M280" s="339">
        <f t="shared" si="99"/>
        <v>1613.9700000000012</v>
      </c>
      <c r="N280" s="339">
        <f t="shared" si="99"/>
        <v>1421.6570200000006</v>
      </c>
      <c r="O280" s="339">
        <f t="shared" si="99"/>
        <v>1633.4772650000014</v>
      </c>
      <c r="P280" s="339">
        <f t="shared" si="99"/>
        <v>1584</v>
      </c>
      <c r="Q280" s="339"/>
      <c r="R280" s="339">
        <f t="shared" si="100"/>
        <v>1598.9600000000009</v>
      </c>
      <c r="S280" s="339">
        <f t="shared" si="100"/>
        <v>1719.6100000000006</v>
      </c>
      <c r="T280" s="339">
        <f t="shared" si="100"/>
        <v>2021.0400000000009</v>
      </c>
      <c r="U280" s="339">
        <f t="shared" si="100"/>
        <v>2488.3199999999997</v>
      </c>
      <c r="V280" s="339"/>
      <c r="W280" s="339">
        <f t="shared" si="101"/>
        <v>3081.1499999999978</v>
      </c>
      <c r="X280" s="339">
        <f t="shared" si="101"/>
        <v>3485.0799099999967</v>
      </c>
      <c r="Y280" s="339">
        <f t="shared" si="101"/>
        <v>3485.0799099999967</v>
      </c>
      <c r="Z280" s="339">
        <f t="shared" si="101"/>
        <v>4965.1368625089272</v>
      </c>
      <c r="AA280" s="339"/>
      <c r="AB280" s="339"/>
      <c r="AC280" s="104"/>
      <c r="AD280" s="104"/>
      <c r="AE280" s="104"/>
      <c r="AF280" s="104"/>
      <c r="AH280" s="104"/>
      <c r="AI280" s="104"/>
      <c r="AJ280" s="104"/>
    </row>
    <row r="281" spans="2:36" x14ac:dyDescent="0.6">
      <c r="B281" s="342" t="str">
        <f>B275</f>
        <v>Payroll</v>
      </c>
      <c r="C281" s="342"/>
      <c r="D281" s="525"/>
      <c r="E281" s="525"/>
      <c r="F281" s="525"/>
      <c r="G281" s="525"/>
      <c r="H281" s="525">
        <f t="shared" si="98"/>
        <v>0</v>
      </c>
      <c r="I281" s="525">
        <f t="shared" si="98"/>
        <v>0</v>
      </c>
      <c r="J281" s="525">
        <f t="shared" si="98"/>
        <v>0</v>
      </c>
      <c r="K281" s="525">
        <f t="shared" si="98"/>
        <v>0</v>
      </c>
      <c r="L281" s="339"/>
      <c r="M281" s="525">
        <f t="shared" si="99"/>
        <v>0</v>
      </c>
      <c r="N281" s="525">
        <f t="shared" si="99"/>
        <v>0</v>
      </c>
      <c r="O281" s="525">
        <f t="shared" si="99"/>
        <v>0</v>
      </c>
      <c r="P281" s="525">
        <f t="shared" si="99"/>
        <v>0</v>
      </c>
      <c r="Q281" s="339"/>
      <c r="R281" s="525">
        <f t="shared" si="100"/>
        <v>0</v>
      </c>
      <c r="S281" s="525">
        <f t="shared" si="100"/>
        <v>0</v>
      </c>
      <c r="T281" s="525">
        <f t="shared" si="100"/>
        <v>0</v>
      </c>
      <c r="U281" s="525">
        <f t="shared" si="100"/>
        <v>0</v>
      </c>
      <c r="V281" s="339"/>
      <c r="W281" s="525">
        <f t="shared" si="101"/>
        <v>0</v>
      </c>
      <c r="X281" s="525">
        <f t="shared" si="101"/>
        <v>0</v>
      </c>
      <c r="Y281" s="525">
        <f t="shared" si="101"/>
        <v>0</v>
      </c>
      <c r="Z281" s="525">
        <f t="shared" si="101"/>
        <v>0</v>
      </c>
      <c r="AA281" s="339"/>
      <c r="AB281" s="339"/>
      <c r="AC281" s="104"/>
      <c r="AD281" s="104"/>
      <c r="AE281" s="104"/>
      <c r="AF281" s="104"/>
      <c r="AH281" s="104"/>
      <c r="AI281" s="104"/>
      <c r="AJ281" s="104"/>
    </row>
    <row r="282" spans="2:36" x14ac:dyDescent="0.6">
      <c r="B282" s="336" t="str">
        <f>B276</f>
        <v>Total</v>
      </c>
      <c r="C282" s="336"/>
      <c r="D282" s="339"/>
      <c r="E282" s="339"/>
      <c r="F282" s="339"/>
      <c r="G282" s="339"/>
      <c r="H282" s="339">
        <f t="shared" si="98"/>
        <v>-2259.1137000000017</v>
      </c>
      <c r="I282" s="339">
        <f t="shared" si="98"/>
        <v>2380.4383999999991</v>
      </c>
      <c r="J282" s="339">
        <f t="shared" si="98"/>
        <v>2268.6007200000022</v>
      </c>
      <c r="K282" s="339">
        <f t="shared" si="98"/>
        <v>3279.7691970000014</v>
      </c>
      <c r="L282" s="339"/>
      <c r="M282" s="339">
        <f t="shared" si="99"/>
        <v>4365.1086599999981</v>
      </c>
      <c r="N282" s="339">
        <f t="shared" si="99"/>
        <v>5089.702240000006</v>
      </c>
      <c r="O282" s="339">
        <f t="shared" si="99"/>
        <v>6097.6038869999975</v>
      </c>
      <c r="P282" s="339">
        <f t="shared" si="99"/>
        <v>7133.2800000000061</v>
      </c>
      <c r="Q282" s="339"/>
      <c r="R282" s="339">
        <f t="shared" si="100"/>
        <v>8257.9200000000055</v>
      </c>
      <c r="S282" s="339">
        <f t="shared" si="100"/>
        <v>9738.07</v>
      </c>
      <c r="T282" s="339">
        <f t="shared" si="100"/>
        <v>11350.080000000002</v>
      </c>
      <c r="U282" s="339">
        <f t="shared" si="100"/>
        <v>12674.87999999999</v>
      </c>
      <c r="V282" s="339"/>
      <c r="W282" s="339">
        <f t="shared" si="101"/>
        <v>14589.119999999995</v>
      </c>
      <c r="X282" s="339">
        <f t="shared" si="101"/>
        <v>16414.749910000013</v>
      </c>
      <c r="Y282" s="339">
        <f t="shared" si="101"/>
        <v>16414.749910000013</v>
      </c>
      <c r="Z282" s="339">
        <f t="shared" si="101"/>
        <v>18374.716191226515</v>
      </c>
      <c r="AA282" s="339"/>
      <c r="AB282" s="339"/>
      <c r="AC282" s="104"/>
      <c r="AD282" s="104"/>
      <c r="AE282" s="104"/>
      <c r="AF282" s="104"/>
      <c r="AH282" s="104"/>
      <c r="AI282" s="104"/>
      <c r="AJ282" s="104"/>
    </row>
    <row r="283" spans="2:36" x14ac:dyDescent="0.6">
      <c r="B283" s="336"/>
      <c r="C283" s="336"/>
      <c r="D283" s="339"/>
      <c r="E283" s="339"/>
      <c r="F283" s="339"/>
      <c r="G283" s="339"/>
      <c r="H283" s="339"/>
      <c r="I283" s="339"/>
      <c r="J283" s="339"/>
      <c r="K283" s="339"/>
      <c r="L283" s="339"/>
      <c r="M283" s="532"/>
      <c r="N283" s="852"/>
      <c r="O283" s="852"/>
      <c r="P283" s="852"/>
      <c r="Q283" s="339"/>
      <c r="R283" s="852"/>
      <c r="S283" s="852"/>
      <c r="T283" s="852"/>
      <c r="U283" s="852"/>
      <c r="V283" s="339"/>
      <c r="W283" s="852"/>
      <c r="X283" s="852"/>
      <c r="Y283" s="852"/>
      <c r="Z283" s="852"/>
      <c r="AA283" s="339"/>
      <c r="AB283" s="339"/>
      <c r="AC283" s="104"/>
      <c r="AD283" s="104"/>
      <c r="AE283" s="104"/>
      <c r="AF283" s="104"/>
      <c r="AH283" s="104"/>
      <c r="AI283" s="104"/>
      <c r="AJ283" s="104"/>
    </row>
    <row r="284" spans="2:36" x14ac:dyDescent="0.6">
      <c r="B284" s="337" t="s">
        <v>1114</v>
      </c>
      <c r="C284" s="336"/>
      <c r="D284" s="339"/>
      <c r="E284" s="339"/>
      <c r="F284" s="339"/>
      <c r="G284" s="339"/>
      <c r="H284" s="339"/>
      <c r="I284" s="339"/>
      <c r="J284" s="339"/>
      <c r="K284" s="339"/>
      <c r="L284" s="339"/>
      <c r="M284" s="532"/>
      <c r="N284" s="532"/>
      <c r="O284" s="852"/>
      <c r="P284" s="852"/>
      <c r="Q284" s="339"/>
      <c r="R284" s="852"/>
      <c r="S284" s="852"/>
      <c r="T284" s="852"/>
      <c r="U284" s="852"/>
      <c r="V284" s="339"/>
      <c r="W284" s="852"/>
      <c r="X284" s="852"/>
      <c r="Y284" s="339"/>
      <c r="Z284" s="339"/>
      <c r="AA284" s="339"/>
      <c r="AB284" s="339"/>
      <c r="AC284" s="104"/>
      <c r="AD284" s="104"/>
      <c r="AE284" s="104"/>
      <c r="AF284" s="104"/>
      <c r="AH284" s="104"/>
      <c r="AI284" s="104"/>
      <c r="AJ284" s="104"/>
    </row>
    <row r="285" spans="2:36" x14ac:dyDescent="0.6">
      <c r="B285" s="336" t="s">
        <v>345</v>
      </c>
      <c r="C285" s="336"/>
      <c r="D285" s="339"/>
      <c r="E285" s="339"/>
      <c r="F285" s="339"/>
      <c r="G285" s="339">
        <f t="shared" ref="G285:K286" si="102">G245*G$263</f>
        <v>16214.121500000001</v>
      </c>
      <c r="H285" s="339">
        <f t="shared" si="102"/>
        <v>16872.931499999999</v>
      </c>
      <c r="I285" s="339">
        <f t="shared" si="102"/>
        <v>20310.7552</v>
      </c>
      <c r="J285" s="339">
        <f t="shared" si="102"/>
        <v>23774.587199999998</v>
      </c>
      <c r="K285" s="339">
        <f t="shared" si="102"/>
        <v>28833.4598682</v>
      </c>
      <c r="L285" s="339"/>
      <c r="M285" s="339">
        <f t="shared" ref="M285:P286" si="103">M245*M$263</f>
        <v>32300.29866</v>
      </c>
      <c r="N285" s="339">
        <f t="shared" si="103"/>
        <v>37744.797419999995</v>
      </c>
      <c r="O285" s="339">
        <f t="shared" si="103"/>
        <v>42307.359015999995</v>
      </c>
      <c r="P285" s="339">
        <f t="shared" si="103"/>
        <v>49019.520000000004</v>
      </c>
      <c r="Q285" s="339"/>
      <c r="R285" s="339">
        <f t="shared" ref="R285:U286" si="104">R245*R$263</f>
        <v>52998.439999999995</v>
      </c>
      <c r="S285" s="339">
        <f t="shared" si="104"/>
        <v>57776.98</v>
      </c>
      <c r="T285" s="339">
        <f t="shared" si="104"/>
        <v>62226.36</v>
      </c>
      <c r="U285" s="339">
        <f t="shared" si="104"/>
        <v>70518.600000000006</v>
      </c>
      <c r="V285" s="339"/>
      <c r="W285" s="339">
        <f t="shared" ref="W285:X288" si="105">W245*W$263</f>
        <v>75619.437000000005</v>
      </c>
      <c r="X285" s="339">
        <f t="shared" si="105"/>
        <v>80160.599999999991</v>
      </c>
      <c r="Y285" s="339">
        <f>X285+Y273</f>
        <v>84160.599999999991</v>
      </c>
      <c r="Z285" s="339">
        <f>Z245*Z$263</f>
        <v>89397.19552478398</v>
      </c>
      <c r="AA285" s="339"/>
      <c r="AB285" s="339"/>
      <c r="AC285" s="104"/>
      <c r="AD285" s="104"/>
      <c r="AE285" s="104"/>
      <c r="AF285" s="104"/>
      <c r="AH285" s="104"/>
      <c r="AI285" s="104"/>
      <c r="AJ285" s="104"/>
    </row>
    <row r="286" spans="2:36" x14ac:dyDescent="0.6">
      <c r="B286" s="336" t="s">
        <v>218</v>
      </c>
      <c r="C286" s="336"/>
      <c r="D286" s="339"/>
      <c r="E286" s="339"/>
      <c r="F286" s="339"/>
      <c r="G286" s="339">
        <f t="shared" si="102"/>
        <v>1044.8985</v>
      </c>
      <c r="H286" s="339">
        <f t="shared" si="102"/>
        <v>1712.6448</v>
      </c>
      <c r="I286" s="339">
        <f t="shared" si="102"/>
        <v>2942.0032000000001</v>
      </c>
      <c r="J286" s="339">
        <f t="shared" si="102"/>
        <v>4914.9386999999997</v>
      </c>
      <c r="K286" s="339">
        <f t="shared" si="102"/>
        <v>7763.4428268000001</v>
      </c>
      <c r="L286" s="339"/>
      <c r="M286" s="339">
        <f t="shared" si="103"/>
        <v>9515.5500000000011</v>
      </c>
      <c r="N286" s="339">
        <f t="shared" si="103"/>
        <v>10236.23878</v>
      </c>
      <c r="O286" s="339">
        <f t="shared" si="103"/>
        <v>10315.092392500001</v>
      </c>
      <c r="P286" s="339">
        <f t="shared" si="103"/>
        <v>10417.44</v>
      </c>
      <c r="Q286" s="339"/>
      <c r="R286" s="339">
        <f t="shared" si="104"/>
        <v>11820.16</v>
      </c>
      <c r="S286" s="339">
        <f t="shared" si="104"/>
        <v>13373.68</v>
      </c>
      <c r="T286" s="339">
        <f t="shared" si="104"/>
        <v>15578.529120000001</v>
      </c>
      <c r="U286" s="339">
        <f t="shared" si="104"/>
        <v>18050.04</v>
      </c>
      <c r="V286" s="339"/>
      <c r="W286" s="339">
        <f t="shared" si="105"/>
        <v>22439.789999999997</v>
      </c>
      <c r="X286" s="339">
        <f t="shared" si="105"/>
        <v>25889.799909999998</v>
      </c>
      <c r="Y286" s="339">
        <f>X286+Y274</f>
        <v>28889.799909999998</v>
      </c>
      <c r="Z286" s="339">
        <f>Z246*Z$263</f>
        <v>33100.912416726183</v>
      </c>
      <c r="AA286" s="339"/>
      <c r="AB286" s="339"/>
      <c r="AC286" s="104"/>
      <c r="AD286" s="104"/>
      <c r="AE286" s="104"/>
      <c r="AF286" s="104"/>
      <c r="AH286" s="104"/>
      <c r="AI286" s="104"/>
      <c r="AJ286" s="104"/>
    </row>
    <row r="287" spans="2:36" x14ac:dyDescent="0.6">
      <c r="B287" s="342" t="s">
        <v>419</v>
      </c>
      <c r="C287" s="342"/>
      <c r="D287" s="525"/>
      <c r="E287" s="525"/>
      <c r="F287" s="525"/>
      <c r="G287" s="525"/>
      <c r="H287" s="525"/>
      <c r="I287" s="525"/>
      <c r="J287" s="525"/>
      <c r="K287" s="525"/>
      <c r="L287" s="525"/>
      <c r="M287" s="525"/>
      <c r="N287" s="525"/>
      <c r="O287" s="525"/>
      <c r="P287" s="525"/>
      <c r="Q287" s="525"/>
      <c r="R287" s="525"/>
      <c r="S287" s="525"/>
      <c r="T287" s="525"/>
      <c r="U287" s="525"/>
      <c r="V287" s="525"/>
      <c r="W287" s="525">
        <f t="shared" si="105"/>
        <v>0</v>
      </c>
      <c r="X287" s="525">
        <f t="shared" si="105"/>
        <v>0</v>
      </c>
      <c r="Y287" s="525">
        <f>X287+Y275</f>
        <v>350</v>
      </c>
      <c r="Z287" s="525">
        <f>Z247*Z$263</f>
        <v>881.29552715654938</v>
      </c>
      <c r="AA287" s="339"/>
      <c r="AB287" s="339"/>
      <c r="AC287" s="104"/>
      <c r="AD287" s="104"/>
      <c r="AE287" s="104"/>
      <c r="AF287" s="104"/>
      <c r="AH287" s="104"/>
      <c r="AI287" s="104"/>
      <c r="AJ287" s="104"/>
    </row>
    <row r="288" spans="2:36" x14ac:dyDescent="0.6">
      <c r="B288" s="336" t="s">
        <v>449</v>
      </c>
      <c r="C288" s="336"/>
      <c r="D288" s="339"/>
      <c r="E288" s="339"/>
      <c r="F288" s="339"/>
      <c r="G288" s="339">
        <f>G248*G$263</f>
        <v>17259.02</v>
      </c>
      <c r="H288" s="339">
        <f>H248*H$263</f>
        <v>18585.576300000001</v>
      </c>
      <c r="I288" s="339">
        <f>I248*I$263</f>
        <v>23252.758399999999</v>
      </c>
      <c r="J288" s="339">
        <f>J248*J$263</f>
        <v>28689.525900000001</v>
      </c>
      <c r="K288" s="339">
        <f>K248*K$263</f>
        <v>36596.902694999997</v>
      </c>
      <c r="L288" s="339"/>
      <c r="M288" s="339">
        <f>M248*M$263</f>
        <v>41815.848660000003</v>
      </c>
      <c r="N288" s="339">
        <f>N248*N$263</f>
        <v>47981.036200000002</v>
      </c>
      <c r="O288" s="339">
        <f>O248*O$263</f>
        <v>52622.451408499997</v>
      </c>
      <c r="P288" s="339">
        <f>P248*P$263</f>
        <v>59436.960000000006</v>
      </c>
      <c r="Q288" s="339"/>
      <c r="R288" s="339">
        <f>R248*R$263</f>
        <v>64818.6</v>
      </c>
      <c r="S288" s="339">
        <f>S248*S$263</f>
        <v>71150.66</v>
      </c>
      <c r="T288" s="339">
        <f>T248*T$263</f>
        <v>77804.889119999993</v>
      </c>
      <c r="U288" s="339">
        <f>U248*U$263</f>
        <v>88568.639999999999</v>
      </c>
      <c r="V288" s="339"/>
      <c r="W288" s="339">
        <f t="shared" si="105"/>
        <v>98059.226999999999</v>
      </c>
      <c r="X288" s="339">
        <f t="shared" si="105"/>
        <v>106050.39991000001</v>
      </c>
      <c r="Y288" s="339">
        <f>X288+Y276</f>
        <v>113400.39991000001</v>
      </c>
      <c r="Z288" s="339">
        <f>SUM(Z285:Z287)</f>
        <v>123379.4034686667</v>
      </c>
      <c r="AA288" s="339"/>
      <c r="AB288" s="339"/>
      <c r="AC288" s="104"/>
      <c r="AD288" s="104"/>
      <c r="AE288" s="104"/>
      <c r="AF288" s="104"/>
      <c r="AH288" s="104"/>
      <c r="AI288" s="104"/>
      <c r="AJ288" s="104"/>
    </row>
    <row r="289" spans="1:36" x14ac:dyDescent="0.6">
      <c r="B289" s="336"/>
      <c r="C289" s="336"/>
      <c r="D289" s="339"/>
      <c r="E289" s="339"/>
      <c r="F289" s="339"/>
      <c r="G289" s="339"/>
      <c r="H289" s="339"/>
      <c r="I289" s="339"/>
      <c r="J289" s="339"/>
      <c r="K289" s="339"/>
      <c r="L289" s="339"/>
      <c r="M289" s="532"/>
      <c r="N289" s="532"/>
      <c r="O289" s="532"/>
      <c r="P289" s="339"/>
      <c r="Q289" s="339"/>
      <c r="R289" s="339"/>
      <c r="S289" s="339"/>
      <c r="T289" s="339"/>
      <c r="U289" s="339"/>
      <c r="V289" s="339"/>
      <c r="W289" s="339"/>
      <c r="X289" s="339"/>
      <c r="Y289" s="339"/>
      <c r="Z289" s="339"/>
      <c r="AA289" s="339"/>
      <c r="AB289" s="339"/>
      <c r="AC289" s="104"/>
      <c r="AD289" s="104"/>
      <c r="AE289" s="104"/>
      <c r="AF289" s="104"/>
      <c r="AH289" s="104"/>
      <c r="AI289" s="104"/>
      <c r="AJ289" s="104"/>
    </row>
    <row r="290" spans="1:36" x14ac:dyDescent="0.6">
      <c r="B290" s="337" t="s">
        <v>1041</v>
      </c>
      <c r="C290" s="336"/>
      <c r="D290" s="339"/>
      <c r="E290" s="339"/>
      <c r="F290" s="339"/>
      <c r="G290" s="339"/>
      <c r="H290" s="339"/>
      <c r="I290" s="339"/>
      <c r="J290" s="339"/>
      <c r="K290" s="339"/>
      <c r="L290" s="339"/>
      <c r="M290" s="339"/>
      <c r="N290" s="339"/>
      <c r="O290" s="339"/>
      <c r="P290" s="339"/>
      <c r="Q290" s="339"/>
      <c r="R290" s="339"/>
      <c r="S290" s="339"/>
      <c r="T290" s="339"/>
      <c r="U290" s="339"/>
      <c r="V290" s="339"/>
      <c r="W290" s="339"/>
      <c r="X290" s="339"/>
      <c r="Y290" s="339"/>
      <c r="Z290" s="339"/>
      <c r="AA290" s="339"/>
      <c r="AB290" s="339"/>
      <c r="AC290" s="104"/>
      <c r="AD290" s="104"/>
      <c r="AE290" s="104"/>
      <c r="AF290" s="104"/>
      <c r="AH290" s="104"/>
      <c r="AI290" s="104"/>
      <c r="AJ290" s="104"/>
    </row>
    <row r="291" spans="1:36" x14ac:dyDescent="0.6">
      <c r="B291" s="337" t="s">
        <v>180</v>
      </c>
      <c r="C291" s="336"/>
      <c r="D291" s="339"/>
      <c r="E291" s="339"/>
      <c r="F291" s="339"/>
      <c r="G291" s="339"/>
      <c r="H291" s="339"/>
      <c r="I291" s="339"/>
      <c r="J291" s="339"/>
      <c r="K291" s="339"/>
      <c r="L291" s="339"/>
      <c r="M291" s="339"/>
      <c r="N291" s="339"/>
      <c r="O291" s="339"/>
      <c r="P291" s="339"/>
      <c r="Q291" s="339"/>
      <c r="R291" s="339"/>
      <c r="S291" s="339"/>
      <c r="T291" s="339"/>
      <c r="U291" s="339"/>
      <c r="V291" s="339"/>
      <c r="W291" s="339"/>
      <c r="X291" s="339"/>
      <c r="Y291" s="339"/>
      <c r="Z291" s="339"/>
      <c r="AA291" s="339"/>
      <c r="AB291" s="339"/>
      <c r="AC291" s="104"/>
      <c r="AD291" s="104"/>
      <c r="AE291" s="104"/>
      <c r="AF291" s="104"/>
      <c r="AH291" s="104"/>
      <c r="AI291" s="104"/>
      <c r="AJ291" s="104"/>
    </row>
    <row r="292" spans="1:36" x14ac:dyDescent="0.6">
      <c r="B292" s="534" t="s">
        <v>555</v>
      </c>
      <c r="C292" s="336"/>
      <c r="D292" s="339"/>
      <c r="E292" s="339"/>
      <c r="F292" s="339"/>
      <c r="G292" s="339"/>
      <c r="H292" s="538">
        <v>113.747</v>
      </c>
      <c r="I292" s="538">
        <v>68.921999999999997</v>
      </c>
      <c r="J292" s="538">
        <v>126.875</v>
      </c>
      <c r="K292" s="339">
        <f>L292-J292-I292-H292</f>
        <v>150.21499999999997</v>
      </c>
      <c r="L292" s="538">
        <v>459.75900000000001</v>
      </c>
      <c r="M292" s="538">
        <v>303.31299999999999</v>
      </c>
      <c r="N292" s="538">
        <v>294.291</v>
      </c>
      <c r="O292" s="538"/>
      <c r="P292" s="339"/>
      <c r="Q292" s="339"/>
      <c r="R292" s="339"/>
      <c r="S292" s="339"/>
      <c r="T292" s="339"/>
      <c r="U292" s="339"/>
      <c r="V292" s="339"/>
      <c r="W292" s="339"/>
      <c r="X292" s="339"/>
      <c r="Y292" s="339"/>
      <c r="Z292" s="339"/>
      <c r="AA292" s="339"/>
      <c r="AB292" s="339"/>
      <c r="AC292" s="104"/>
      <c r="AD292" s="104"/>
      <c r="AE292" s="104"/>
      <c r="AF292" s="104"/>
      <c r="AH292" s="104"/>
      <c r="AI292" s="104"/>
      <c r="AJ292" s="104"/>
    </row>
    <row r="293" spans="1:36" s="84" customFormat="1" x14ac:dyDescent="0.6">
      <c r="A293"/>
      <c r="B293" s="535" t="s">
        <v>556</v>
      </c>
      <c r="C293" s="342"/>
      <c r="D293" s="525"/>
      <c r="E293" s="525"/>
      <c r="F293" s="525"/>
      <c r="G293" s="525"/>
      <c r="H293" s="539">
        <v>-55.731000000000002</v>
      </c>
      <c r="I293" s="539">
        <v>-9.9920000000000009</v>
      </c>
      <c r="J293" s="539">
        <v>-40.728000000000002</v>
      </c>
      <c r="K293" s="525">
        <f>L293-J293-I293-H293</f>
        <v>-41.706999999999972</v>
      </c>
      <c r="L293" s="539">
        <v>-148.15799999999999</v>
      </c>
      <c r="M293" s="539">
        <v>-133.25700000000001</v>
      </c>
      <c r="N293" s="539">
        <v>-71.617000000000004</v>
      </c>
      <c r="O293" s="539"/>
      <c r="P293" s="525"/>
      <c r="Q293" s="525"/>
      <c r="R293" s="525"/>
      <c r="S293" s="525"/>
      <c r="T293" s="525"/>
      <c r="U293" s="525"/>
      <c r="V293" s="525"/>
      <c r="W293" s="525"/>
      <c r="X293" s="525"/>
      <c r="Y293" s="525"/>
      <c r="Z293" s="525"/>
      <c r="AA293" s="525"/>
      <c r="AB293" s="525"/>
      <c r="AC293" s="526"/>
      <c r="AD293" s="526"/>
      <c r="AE293" s="526"/>
      <c r="AF293" s="526"/>
      <c r="AH293" s="526"/>
      <c r="AI293" s="526"/>
      <c r="AJ293" s="526"/>
    </row>
    <row r="294" spans="1:36" x14ac:dyDescent="0.6">
      <c r="B294" s="337" t="s">
        <v>1039</v>
      </c>
      <c r="C294" s="336"/>
      <c r="D294" s="339"/>
      <c r="E294" s="339"/>
      <c r="F294" s="339"/>
      <c r="G294" s="339"/>
      <c r="H294" s="339">
        <f>SUM(H292:H293)</f>
        <v>58.015999999999998</v>
      </c>
      <c r="I294" s="339">
        <f>SUM(I292:I293)</f>
        <v>58.929999999999993</v>
      </c>
      <c r="J294" s="339">
        <f>SUM(J292:J293)</f>
        <v>86.146999999999991</v>
      </c>
      <c r="K294" s="339">
        <f>L294-J294-I294-H294</f>
        <v>108.50800000000001</v>
      </c>
      <c r="L294" s="339">
        <f>SUM(L292:L293)</f>
        <v>311.601</v>
      </c>
      <c r="M294" s="339">
        <f>SUM(M292:M293)</f>
        <v>170.05599999999998</v>
      </c>
      <c r="N294" s="339">
        <f>SUM(N292:N293)</f>
        <v>222.67399999999998</v>
      </c>
      <c r="O294" s="339">
        <f>SUM(O292:O293)</f>
        <v>0</v>
      </c>
      <c r="P294" s="339"/>
      <c r="Q294" s="339"/>
      <c r="R294" s="339"/>
      <c r="S294" s="339"/>
      <c r="T294" s="339"/>
      <c r="U294" s="339"/>
      <c r="V294" s="339"/>
      <c r="W294" s="339"/>
      <c r="X294" s="339"/>
      <c r="Y294" s="339"/>
      <c r="Z294" s="339"/>
      <c r="AA294" s="339"/>
      <c r="AB294" s="339"/>
      <c r="AC294" s="104"/>
      <c r="AD294" s="104"/>
      <c r="AE294" s="104"/>
      <c r="AF294" s="104"/>
      <c r="AH294" s="104"/>
      <c r="AI294" s="104"/>
      <c r="AJ294" s="104"/>
    </row>
    <row r="295" spans="1:36" s="84" customFormat="1" x14ac:dyDescent="0.6">
      <c r="A295"/>
      <c r="B295" s="342" t="s">
        <v>558</v>
      </c>
      <c r="C295" s="342"/>
      <c r="D295" s="525"/>
      <c r="E295" s="525"/>
      <c r="F295" s="525"/>
      <c r="G295" s="525"/>
      <c r="H295" s="539">
        <v>-5.8680000000000003</v>
      </c>
      <c r="I295" s="539">
        <v>-5.8109999999999999</v>
      </c>
      <c r="J295" s="539">
        <v>-6.4</v>
      </c>
      <c r="K295" s="525">
        <f>L295-J295-I295-H295</f>
        <v>-4.4150000000000009</v>
      </c>
      <c r="L295" s="539">
        <v>-22.494</v>
      </c>
      <c r="M295" s="539">
        <v>-3.5449999999999999</v>
      </c>
      <c r="N295" s="539">
        <v>-6.2089999999999996</v>
      </c>
      <c r="O295" s="539"/>
      <c r="P295" s="527"/>
      <c r="Q295" s="525"/>
      <c r="R295" s="525"/>
      <c r="S295" s="525"/>
      <c r="T295" s="525"/>
      <c r="U295" s="525"/>
      <c r="V295" s="525"/>
      <c r="W295" s="525"/>
      <c r="X295" s="525"/>
      <c r="Y295" s="525"/>
      <c r="Z295" s="525"/>
      <c r="AA295" s="525"/>
      <c r="AB295" s="525"/>
      <c r="AC295" s="526"/>
      <c r="AD295" s="526"/>
      <c r="AE295" s="526"/>
      <c r="AF295" s="526"/>
      <c r="AH295" s="526"/>
      <c r="AI295" s="526"/>
      <c r="AJ295" s="526"/>
    </row>
    <row r="296" spans="1:36" x14ac:dyDescent="0.6">
      <c r="B296" s="337" t="s">
        <v>106</v>
      </c>
      <c r="C296" s="336"/>
      <c r="D296" s="339"/>
      <c r="E296" s="339"/>
      <c r="F296" s="339"/>
      <c r="G296" s="339"/>
      <c r="H296" s="339">
        <f>SUM(H294:H295)</f>
        <v>52.147999999999996</v>
      </c>
      <c r="I296" s="339">
        <f>SUM(I294:I295)</f>
        <v>53.118999999999993</v>
      </c>
      <c r="J296" s="339">
        <f>SUM(J294:J295)</f>
        <v>79.746999999999986</v>
      </c>
      <c r="K296" s="339">
        <f>L296-J296-I296-H296</f>
        <v>104.09299999999999</v>
      </c>
      <c r="L296" s="339">
        <f>SUM(L294:L295)</f>
        <v>289.10699999999997</v>
      </c>
      <c r="M296" s="339">
        <f>SUM(M294:M295)</f>
        <v>166.511</v>
      </c>
      <c r="N296" s="339">
        <f>SUM(N294:N295)</f>
        <v>216.46499999999997</v>
      </c>
      <c r="O296" s="339">
        <f>SUM(O294:O295)</f>
        <v>0</v>
      </c>
      <c r="P296" s="339"/>
      <c r="Q296" s="339"/>
      <c r="R296" s="339"/>
      <c r="S296" s="339"/>
      <c r="T296" s="339"/>
      <c r="U296" s="339"/>
      <c r="V296" s="339"/>
      <c r="W296" s="339"/>
      <c r="X296" s="339"/>
      <c r="Y296" s="339"/>
      <c r="Z296" s="339"/>
      <c r="AA296" s="339"/>
      <c r="AB296" s="339"/>
      <c r="AC296" s="104"/>
      <c r="AD296" s="104"/>
      <c r="AE296" s="104"/>
      <c r="AF296" s="104"/>
      <c r="AH296" s="104"/>
      <c r="AI296" s="104"/>
      <c r="AJ296" s="104"/>
    </row>
    <row r="297" spans="1:36" x14ac:dyDescent="0.6">
      <c r="B297" s="336"/>
      <c r="C297" s="336"/>
      <c r="D297" s="339"/>
      <c r="E297" s="339"/>
      <c r="F297" s="339"/>
      <c r="G297" s="339"/>
      <c r="H297" s="339"/>
      <c r="I297" s="339"/>
      <c r="J297" s="339"/>
      <c r="K297" s="339"/>
      <c r="L297" s="339"/>
      <c r="M297" s="339"/>
      <c r="N297" s="339"/>
      <c r="O297" s="339"/>
      <c r="P297" s="339"/>
      <c r="Q297" s="339"/>
      <c r="R297" s="339"/>
      <c r="S297" s="339"/>
      <c r="T297" s="339"/>
      <c r="U297" s="339"/>
      <c r="V297" s="339"/>
      <c r="W297" s="339"/>
      <c r="X297" s="339"/>
      <c r="Y297" s="339"/>
      <c r="Z297" s="339"/>
      <c r="AA297" s="339"/>
      <c r="AB297" s="339"/>
      <c r="AC297" s="104"/>
      <c r="AD297" s="104"/>
      <c r="AE297" s="104"/>
      <c r="AF297" s="104"/>
      <c r="AH297" s="104"/>
      <c r="AI297" s="104"/>
      <c r="AJ297" s="104"/>
    </row>
    <row r="298" spans="1:36" x14ac:dyDescent="0.6">
      <c r="B298" s="337" t="s">
        <v>218</v>
      </c>
      <c r="C298" s="336"/>
      <c r="D298" s="339"/>
      <c r="E298" s="339"/>
      <c r="F298" s="339"/>
      <c r="G298" s="339"/>
      <c r="H298" s="339"/>
      <c r="I298" s="339"/>
      <c r="J298" s="339"/>
      <c r="K298" s="339"/>
      <c r="L298" s="339"/>
      <c r="M298" s="339"/>
      <c r="N298" s="339"/>
      <c r="O298" s="339"/>
      <c r="P298" s="339"/>
      <c r="Q298" s="339"/>
      <c r="R298" s="339"/>
      <c r="S298" s="339"/>
      <c r="T298" s="339"/>
      <c r="U298" s="339"/>
      <c r="V298" s="339"/>
      <c r="W298" s="339"/>
      <c r="X298" s="339"/>
      <c r="Y298" s="339"/>
      <c r="Z298" s="339"/>
      <c r="AA298" s="339"/>
      <c r="AB298" s="339"/>
      <c r="AC298" s="104"/>
      <c r="AD298" s="104"/>
      <c r="AE298" s="104"/>
      <c r="AF298" s="104"/>
      <c r="AH298" s="104"/>
      <c r="AI298" s="104"/>
      <c r="AJ298" s="104"/>
    </row>
    <row r="299" spans="1:36" x14ac:dyDescent="0.6">
      <c r="B299" s="534" t="s">
        <v>555</v>
      </c>
      <c r="C299" s="336"/>
      <c r="D299" s="339"/>
      <c r="E299" s="339"/>
      <c r="F299" s="339"/>
      <c r="G299" s="339"/>
      <c r="H299" s="538">
        <v>28.798999999999999</v>
      </c>
      <c r="I299" s="538">
        <v>35.643999999999998</v>
      </c>
      <c r="J299" s="538">
        <v>67.611999999999995</v>
      </c>
      <c r="K299" s="339">
        <f>L299-J299-I299-H299</f>
        <v>113.989</v>
      </c>
      <c r="L299" s="538">
        <v>246.04400000000001</v>
      </c>
      <c r="M299" s="538">
        <v>181.959</v>
      </c>
      <c r="N299" s="538">
        <v>157.75899999999999</v>
      </c>
      <c r="O299" s="538"/>
      <c r="P299" s="339"/>
      <c r="Q299" s="339"/>
      <c r="R299" s="339"/>
      <c r="S299" s="339"/>
      <c r="T299" s="339"/>
      <c r="U299" s="339"/>
      <c r="V299" s="339"/>
      <c r="W299" s="339"/>
      <c r="X299" s="339"/>
      <c r="Y299" s="339"/>
      <c r="Z299" s="339"/>
      <c r="AA299" s="339"/>
      <c r="AB299" s="339"/>
      <c r="AC299" s="104"/>
      <c r="AD299" s="104"/>
      <c r="AE299" s="104"/>
      <c r="AF299" s="104"/>
      <c r="AH299" s="104"/>
      <c r="AI299" s="104"/>
      <c r="AJ299" s="104"/>
    </row>
    <row r="300" spans="1:36" s="84" customFormat="1" x14ac:dyDescent="0.6">
      <c r="A300"/>
      <c r="B300" s="535" t="s">
        <v>556</v>
      </c>
      <c r="C300" s="342"/>
      <c r="D300" s="525"/>
      <c r="E300" s="525"/>
      <c r="F300" s="525"/>
      <c r="G300" s="525"/>
      <c r="H300" s="539">
        <v>-9.6050000000000004</v>
      </c>
      <c r="I300" s="539">
        <v>-5.9690000000000003</v>
      </c>
      <c r="J300" s="539">
        <v>-20.170000000000002</v>
      </c>
      <c r="K300" s="525">
        <f>L300-J300-I300-H300</f>
        <v>-18.221999999999998</v>
      </c>
      <c r="L300" s="539">
        <v>-53.966000000000001</v>
      </c>
      <c r="M300" s="539">
        <v>-72.525999999999996</v>
      </c>
      <c r="N300" s="539">
        <v>-34.686999999999998</v>
      </c>
      <c r="O300" s="539"/>
      <c r="P300" s="525"/>
      <c r="Q300" s="525"/>
      <c r="R300" s="525"/>
      <c r="S300" s="525"/>
      <c r="T300" s="525"/>
      <c r="U300" s="525"/>
      <c r="V300" s="525"/>
      <c r="W300" s="525"/>
      <c r="X300" s="525"/>
      <c r="Y300" s="525"/>
      <c r="Z300" s="525"/>
      <c r="AA300" s="525"/>
      <c r="AB300" s="525"/>
      <c r="AC300" s="526"/>
      <c r="AD300" s="526"/>
      <c r="AE300" s="526"/>
      <c r="AF300" s="526"/>
      <c r="AH300" s="526"/>
      <c r="AI300" s="526"/>
      <c r="AJ300" s="526"/>
    </row>
    <row r="301" spans="1:36" x14ac:dyDescent="0.6">
      <c r="B301" s="337" t="s">
        <v>1039</v>
      </c>
      <c r="C301" s="336"/>
      <c r="D301" s="339"/>
      <c r="E301" s="339"/>
      <c r="F301" s="339"/>
      <c r="G301" s="339"/>
      <c r="H301" s="339">
        <f>SUM(H299:H300)</f>
        <v>19.193999999999999</v>
      </c>
      <c r="I301" s="339">
        <f>SUM(I299:I300)</f>
        <v>29.674999999999997</v>
      </c>
      <c r="J301" s="339">
        <f>SUM(J299:J300)</f>
        <v>47.441999999999993</v>
      </c>
      <c r="K301" s="339">
        <f>L301-J301-I301-H301</f>
        <v>95.767000000000024</v>
      </c>
      <c r="L301" s="339">
        <f>SUM(L299:L300)</f>
        <v>192.078</v>
      </c>
      <c r="M301" s="339">
        <f>SUM(M299:M300)</f>
        <v>109.43300000000001</v>
      </c>
      <c r="N301" s="339">
        <f>SUM(N299:N300)</f>
        <v>123.07199999999999</v>
      </c>
      <c r="O301" s="339">
        <f>SUM(O299:O300)</f>
        <v>0</v>
      </c>
      <c r="P301" s="339"/>
      <c r="Q301" s="339"/>
      <c r="R301" s="339"/>
      <c r="S301" s="339"/>
      <c r="T301" s="339"/>
      <c r="U301" s="339"/>
      <c r="V301" s="339"/>
      <c r="W301" s="339"/>
      <c r="X301" s="339"/>
      <c r="Y301" s="339"/>
      <c r="Z301" s="339"/>
      <c r="AA301" s="339"/>
      <c r="AB301" s="339"/>
      <c r="AC301" s="104"/>
      <c r="AD301" s="104"/>
      <c r="AE301" s="104"/>
      <c r="AF301" s="104"/>
      <c r="AH301" s="104"/>
      <c r="AI301" s="104"/>
      <c r="AJ301" s="104"/>
    </row>
    <row r="302" spans="1:36" s="84" customFormat="1" x14ac:dyDescent="0.6">
      <c r="A302"/>
      <c r="B302" s="342" t="s">
        <v>558</v>
      </c>
      <c r="C302" s="342"/>
      <c r="D302" s="525"/>
      <c r="E302" s="525"/>
      <c r="F302" s="525"/>
      <c r="G302" s="525"/>
      <c r="H302" s="539">
        <v>-4.8000000000000001E-2</v>
      </c>
      <c r="I302" s="539">
        <v>-0.126</v>
      </c>
      <c r="J302" s="539">
        <v>-0.184</v>
      </c>
      <c r="K302" s="525">
        <f>L302-J302-I302-H302</f>
        <v>-0.18400000000000005</v>
      </c>
      <c r="L302" s="539">
        <v>-0.54200000000000004</v>
      </c>
      <c r="M302" s="539">
        <v>-0.222</v>
      </c>
      <c r="N302" s="539">
        <v>-0.995</v>
      </c>
      <c r="O302" s="539"/>
      <c r="P302" s="527"/>
      <c r="Q302" s="525"/>
      <c r="R302" s="525"/>
      <c r="S302" s="525"/>
      <c r="T302" s="525"/>
      <c r="U302" s="525"/>
      <c r="V302" s="525"/>
      <c r="W302" s="525"/>
      <c r="X302" s="525"/>
      <c r="Y302" s="525"/>
      <c r="Z302" s="525"/>
      <c r="AA302" s="525"/>
      <c r="AB302" s="525"/>
      <c r="AC302" s="526"/>
      <c r="AD302" s="526"/>
      <c r="AE302" s="526"/>
      <c r="AF302" s="526"/>
      <c r="AH302" s="526"/>
      <c r="AI302" s="526"/>
      <c r="AJ302" s="526"/>
    </row>
    <row r="303" spans="1:36" x14ac:dyDescent="0.6">
      <c r="B303" s="337" t="s">
        <v>1052</v>
      </c>
      <c r="C303" s="336"/>
      <c r="D303" s="339"/>
      <c r="E303" s="339"/>
      <c r="F303" s="339"/>
      <c r="G303" s="339"/>
      <c r="H303" s="339">
        <f>SUM(H301:H302)</f>
        <v>19.146000000000001</v>
      </c>
      <c r="I303" s="339">
        <f>SUM(I301:I302)</f>
        <v>29.548999999999996</v>
      </c>
      <c r="J303" s="339">
        <f>SUM(J301:J302)</f>
        <v>47.257999999999996</v>
      </c>
      <c r="K303" s="339">
        <f>L303-J303-I303-H303</f>
        <v>95.583000000000027</v>
      </c>
      <c r="L303" s="339">
        <f>SUM(L301:L302)</f>
        <v>191.536</v>
      </c>
      <c r="M303" s="339">
        <f>SUM(M301:M302)</f>
        <v>109.21100000000001</v>
      </c>
      <c r="N303" s="339">
        <f>SUM(N301:N302)</f>
        <v>122.07699999999998</v>
      </c>
      <c r="O303" s="339">
        <f>SUM(O301:O302)</f>
        <v>0</v>
      </c>
      <c r="P303" s="339"/>
      <c r="Q303" s="339"/>
      <c r="R303" s="339"/>
      <c r="S303" s="339"/>
      <c r="T303" s="339"/>
      <c r="U303" s="339"/>
      <c r="V303" s="339"/>
      <c r="W303" s="339"/>
      <c r="X303" s="339"/>
      <c r="Y303" s="339"/>
      <c r="Z303" s="339"/>
      <c r="AA303" s="339"/>
      <c r="AB303" s="339"/>
      <c r="AC303" s="104"/>
      <c r="AD303" s="104"/>
      <c r="AE303" s="104"/>
      <c r="AF303" s="104"/>
      <c r="AH303" s="104"/>
      <c r="AI303" s="104"/>
      <c r="AJ303" s="104"/>
    </row>
    <row r="304" spans="1:36" x14ac:dyDescent="0.6">
      <c r="B304" s="336"/>
      <c r="C304" s="336"/>
      <c r="D304" s="339"/>
      <c r="E304" s="339"/>
      <c r="F304" s="339"/>
      <c r="G304" s="339"/>
      <c r="H304" s="339"/>
      <c r="I304" s="339"/>
      <c r="J304" s="339"/>
      <c r="K304" s="339"/>
      <c r="L304" s="339"/>
      <c r="M304" s="339"/>
      <c r="N304" s="339"/>
      <c r="O304" s="339"/>
      <c r="P304" s="339"/>
      <c r="Q304" s="339"/>
      <c r="R304" s="339"/>
      <c r="S304" s="339"/>
      <c r="T304" s="339"/>
      <c r="U304" s="339"/>
      <c r="V304" s="339"/>
      <c r="W304" s="339"/>
      <c r="X304" s="339"/>
      <c r="Y304" s="339"/>
      <c r="Z304" s="339"/>
      <c r="AA304" s="339"/>
      <c r="AB304" s="339"/>
      <c r="AC304" s="104"/>
      <c r="AD304" s="104"/>
      <c r="AE304" s="104"/>
      <c r="AF304" s="104"/>
      <c r="AH304" s="104"/>
      <c r="AI304" s="104"/>
      <c r="AJ304" s="104"/>
    </row>
    <row r="305" spans="1:36" s="20" customFormat="1" x14ac:dyDescent="0.6">
      <c r="B305" s="337" t="s">
        <v>1040</v>
      </c>
      <c r="C305" s="337"/>
      <c r="D305" s="338"/>
      <c r="E305" s="338"/>
      <c r="F305" s="338"/>
      <c r="G305" s="338"/>
      <c r="H305" s="338">
        <f t="shared" ref="H305:O305" si="106">H38</f>
        <v>-71.3</v>
      </c>
      <c r="I305" s="338">
        <f t="shared" si="106"/>
        <v>-82.7</v>
      </c>
      <c r="J305" s="338">
        <f t="shared" si="106"/>
        <v>-127</v>
      </c>
      <c r="K305" s="338">
        <f t="shared" si="106"/>
        <v>-199.63400000000001</v>
      </c>
      <c r="L305" s="338">
        <f t="shared" si="106"/>
        <v>-480.64299999999997</v>
      </c>
      <c r="M305" s="338">
        <f t="shared" si="106"/>
        <v>-275.72199999999998</v>
      </c>
      <c r="N305" s="338">
        <f t="shared" si="106"/>
        <v>-338.49200000000002</v>
      </c>
      <c r="O305" s="338">
        <f t="shared" si="106"/>
        <v>-375.5</v>
      </c>
      <c r="P305" s="338"/>
      <c r="Q305" s="537"/>
      <c r="R305" s="537"/>
      <c r="S305" s="537"/>
      <c r="T305" s="537"/>
      <c r="U305" s="537"/>
      <c r="V305" s="537"/>
      <c r="W305" s="537"/>
      <c r="X305" s="537"/>
      <c r="Y305" s="537"/>
      <c r="Z305" s="537"/>
      <c r="AA305" s="537"/>
      <c r="AB305" s="338"/>
      <c r="AC305" s="536"/>
      <c r="AD305" s="536"/>
      <c r="AE305" s="536"/>
      <c r="AF305" s="536"/>
      <c r="AH305" s="536"/>
      <c r="AI305" s="536"/>
      <c r="AJ305" s="536"/>
    </row>
    <row r="306" spans="1:36" s="20" customFormat="1" x14ac:dyDescent="0.6">
      <c r="B306" s="337"/>
      <c r="C306" s="337"/>
      <c r="D306" s="338"/>
      <c r="E306" s="338"/>
      <c r="F306" s="338"/>
      <c r="G306" s="338"/>
      <c r="H306" s="537"/>
      <c r="I306" s="537"/>
      <c r="J306" s="537"/>
      <c r="K306" s="537"/>
      <c r="L306" s="537"/>
      <c r="M306" s="537"/>
      <c r="N306" s="537"/>
      <c r="O306" s="537"/>
      <c r="P306" s="338"/>
      <c r="Q306" s="338"/>
      <c r="R306" s="338"/>
      <c r="S306" s="338"/>
      <c r="T306" s="338"/>
      <c r="U306" s="338"/>
      <c r="V306" s="338"/>
      <c r="W306" s="338"/>
      <c r="X306" s="338"/>
      <c r="Y306" s="338"/>
      <c r="Z306" s="338"/>
      <c r="AA306" s="338"/>
      <c r="AB306" s="338"/>
      <c r="AC306" s="536"/>
      <c r="AD306" s="536"/>
      <c r="AE306" s="536"/>
      <c r="AF306" s="536"/>
      <c r="AH306" s="536"/>
      <c r="AI306" s="536"/>
      <c r="AJ306" s="536"/>
    </row>
    <row r="307" spans="1:36" s="20" customFormat="1" x14ac:dyDescent="0.6">
      <c r="B307" s="337" t="s">
        <v>180</v>
      </c>
      <c r="C307" s="337"/>
      <c r="D307" s="338"/>
      <c r="E307" s="338"/>
      <c r="F307" s="338"/>
      <c r="G307" s="338"/>
      <c r="H307" s="537"/>
      <c r="I307" s="537"/>
      <c r="J307" s="537"/>
      <c r="K307" s="537"/>
      <c r="L307" s="537"/>
      <c r="M307" s="537"/>
      <c r="N307" s="537"/>
      <c r="O307" s="537"/>
      <c r="P307" s="338"/>
      <c r="Q307" s="338"/>
      <c r="R307" s="338"/>
      <c r="S307" s="338"/>
      <c r="T307" s="338"/>
      <c r="U307" s="338"/>
      <c r="V307" s="338"/>
      <c r="W307" s="338"/>
      <c r="X307" s="338"/>
      <c r="Y307" s="338"/>
      <c r="Z307" s="338"/>
      <c r="AA307" s="338"/>
      <c r="AB307" s="338"/>
      <c r="AC307" s="536"/>
      <c r="AD307" s="536"/>
      <c r="AE307" s="536"/>
      <c r="AF307" s="536"/>
      <c r="AH307" s="536"/>
      <c r="AI307" s="536"/>
      <c r="AJ307" s="536"/>
    </row>
    <row r="308" spans="1:36" s="20" customFormat="1" x14ac:dyDescent="0.6">
      <c r="B308" s="534" t="s">
        <v>1042</v>
      </c>
      <c r="C308" s="337"/>
      <c r="D308" s="338"/>
      <c r="E308" s="338"/>
      <c r="F308" s="338"/>
      <c r="G308" s="338"/>
      <c r="H308" s="532">
        <f>H292/H426</f>
        <v>7.7735218278018089E-2</v>
      </c>
      <c r="I308" s="532">
        <f>I292/I426</f>
        <v>2.6280231765007881E-2</v>
      </c>
      <c r="J308" s="532">
        <f>J292/J426</f>
        <v>5.2919515571646876E-2</v>
      </c>
      <c r="K308" s="532">
        <f>K292/K426</f>
        <v>4.9078351273436974E-2</v>
      </c>
      <c r="L308" s="532"/>
      <c r="M308" s="532">
        <f>M292/M426</f>
        <v>7.1571829790801206E-2</v>
      </c>
      <c r="N308" s="532">
        <f>N292/N426</f>
        <v>8.0649584518374867E-2</v>
      </c>
      <c r="O308" s="532">
        <f>O292/O426</f>
        <v>0</v>
      </c>
      <c r="P308" s="542"/>
      <c r="Q308" s="338"/>
      <c r="R308" s="338"/>
      <c r="S308" s="338"/>
      <c r="T308" s="338"/>
      <c r="U308" s="338"/>
      <c r="V308" s="338"/>
      <c r="W308" s="338"/>
      <c r="X308" s="338"/>
      <c r="Y308" s="338"/>
      <c r="Z308" s="338"/>
      <c r="AA308" s="338"/>
      <c r="AB308" s="338"/>
      <c r="AC308" s="536"/>
      <c r="AD308" s="536"/>
      <c r="AE308" s="536"/>
      <c r="AF308" s="536"/>
      <c r="AH308" s="536"/>
      <c r="AI308" s="536"/>
      <c r="AJ308" s="536"/>
    </row>
    <row r="309" spans="1:36" s="235" customFormat="1" x14ac:dyDescent="0.6">
      <c r="A309" s="20"/>
      <c r="B309" s="535" t="s">
        <v>1043</v>
      </c>
      <c r="C309" s="340"/>
      <c r="D309" s="341"/>
      <c r="E309" s="341"/>
      <c r="F309" s="341"/>
      <c r="G309" s="341"/>
      <c r="H309" s="533"/>
      <c r="I309" s="533"/>
      <c r="J309" s="533">
        <f>J293/I416</f>
        <v>-9.9652556887692683E-3</v>
      </c>
      <c r="K309" s="533">
        <f>K293/J416</f>
        <v>-9.5483058608058537E-3</v>
      </c>
      <c r="L309" s="533"/>
      <c r="M309" s="533">
        <f>M293/K416</f>
        <v>-2.5769171788483827E-2</v>
      </c>
      <c r="N309" s="533">
        <f>N293/N416</f>
        <v>-9.9803269787955857E-3</v>
      </c>
      <c r="O309" s="533">
        <f>O293/O416</f>
        <v>0</v>
      </c>
      <c r="P309" s="543"/>
      <c r="Q309" s="341"/>
      <c r="R309" s="341"/>
      <c r="S309" s="341"/>
      <c r="T309" s="341"/>
      <c r="U309" s="341"/>
      <c r="V309" s="341"/>
      <c r="W309" s="341"/>
      <c r="X309" s="341"/>
      <c r="Y309" s="341"/>
      <c r="Z309" s="341"/>
      <c r="AA309" s="341"/>
      <c r="AB309" s="341"/>
      <c r="AC309" s="540"/>
      <c r="AD309" s="540"/>
      <c r="AE309" s="540"/>
      <c r="AF309" s="540"/>
      <c r="AH309" s="540"/>
      <c r="AI309" s="540"/>
      <c r="AJ309" s="540"/>
    </row>
    <row r="310" spans="1:36" s="20" customFormat="1" x14ac:dyDescent="0.6">
      <c r="B310" s="336"/>
      <c r="C310" s="337"/>
      <c r="D310" s="338"/>
      <c r="E310" s="338"/>
      <c r="F310" s="338"/>
      <c r="G310" s="338"/>
      <c r="H310" s="537"/>
      <c r="I310" s="537"/>
      <c r="J310" s="537"/>
      <c r="K310" s="537"/>
      <c r="L310" s="537"/>
      <c r="M310" s="537"/>
      <c r="N310" s="537"/>
      <c r="O310" s="537"/>
      <c r="P310" s="338"/>
      <c r="Q310" s="338"/>
      <c r="R310" s="338"/>
      <c r="S310" s="338"/>
      <c r="T310" s="338"/>
      <c r="U310" s="338"/>
      <c r="V310" s="338"/>
      <c r="W310" s="338"/>
      <c r="X310" s="338"/>
      <c r="Y310" s="338"/>
      <c r="Z310" s="338"/>
      <c r="AA310" s="338"/>
      <c r="AB310" s="338"/>
      <c r="AC310" s="536"/>
      <c r="AD310" s="536"/>
      <c r="AE310" s="536"/>
      <c r="AF310" s="536"/>
      <c r="AH310" s="536"/>
      <c r="AI310" s="536"/>
      <c r="AJ310" s="536"/>
    </row>
    <row r="311" spans="1:36" s="20" customFormat="1" x14ac:dyDescent="0.6">
      <c r="B311" s="337" t="s">
        <v>218</v>
      </c>
      <c r="C311" s="337"/>
      <c r="D311" s="338"/>
      <c r="E311" s="338"/>
      <c r="F311" s="338"/>
      <c r="G311" s="338"/>
      <c r="H311" s="537"/>
      <c r="I311" s="537"/>
      <c r="J311" s="537"/>
      <c r="K311" s="537"/>
      <c r="L311" s="537"/>
      <c r="M311" s="537"/>
      <c r="N311" s="537"/>
      <c r="O311" s="537"/>
      <c r="P311" s="338"/>
      <c r="Q311" s="338"/>
      <c r="R311" s="338"/>
      <c r="S311" s="338"/>
      <c r="T311" s="338"/>
      <c r="U311" s="338"/>
      <c r="V311" s="338"/>
      <c r="W311" s="338"/>
      <c r="X311" s="338"/>
      <c r="Y311" s="338"/>
      <c r="Z311" s="338"/>
      <c r="AA311" s="338"/>
      <c r="AB311" s="338"/>
      <c r="AC311" s="536"/>
      <c r="AD311" s="536"/>
      <c r="AE311" s="536"/>
      <c r="AF311" s="536"/>
      <c r="AH311" s="536"/>
      <c r="AI311" s="536"/>
      <c r="AJ311" s="536"/>
    </row>
    <row r="312" spans="1:36" s="20" customFormat="1" x14ac:dyDescent="0.6">
      <c r="B312" s="534" t="s">
        <v>1042</v>
      </c>
      <c r="C312" s="337"/>
      <c r="D312" s="338"/>
      <c r="E312" s="338"/>
      <c r="F312" s="338"/>
      <c r="G312" s="338"/>
      <c r="H312" s="532">
        <f>H299/H427</f>
        <v>0.19390031833141419</v>
      </c>
      <c r="I312" s="532">
        <f>I299/I427</f>
        <v>9.3829777283425925E-2</v>
      </c>
      <c r="J312" s="532">
        <f>J299/J427</f>
        <v>0.13641385022993319</v>
      </c>
      <c r="K312" s="532">
        <f>K299/K427</f>
        <v>0.13831905268969152</v>
      </c>
      <c r="L312" s="532"/>
      <c r="M312" s="532">
        <f>M299/M427</f>
        <v>0.14574621318244185</v>
      </c>
      <c r="N312" s="532">
        <f>N299/N427</f>
        <v>3.2866458333333327E-2</v>
      </c>
      <c r="O312" s="532">
        <f>O299/O427</f>
        <v>0</v>
      </c>
      <c r="P312" s="542"/>
      <c r="Q312" s="338"/>
      <c r="R312" s="338"/>
      <c r="S312" s="338"/>
      <c r="T312" s="338"/>
      <c r="U312" s="338"/>
      <c r="V312" s="338"/>
      <c r="W312" s="338"/>
      <c r="X312" s="338"/>
      <c r="Y312" s="338"/>
      <c r="Z312" s="338"/>
      <c r="AA312" s="338"/>
      <c r="AB312" s="338"/>
      <c r="AC312" s="536"/>
      <c r="AD312" s="536"/>
      <c r="AE312" s="536"/>
      <c r="AF312" s="536"/>
      <c r="AH312" s="536"/>
      <c r="AI312" s="536"/>
      <c r="AJ312" s="536"/>
    </row>
    <row r="313" spans="1:36" s="235" customFormat="1" x14ac:dyDescent="0.6">
      <c r="A313" s="20"/>
      <c r="B313" s="535" t="s">
        <v>1043</v>
      </c>
      <c r="C313" s="340"/>
      <c r="D313" s="341"/>
      <c r="E313" s="341"/>
      <c r="F313" s="341"/>
      <c r="G313" s="341"/>
      <c r="H313" s="533"/>
      <c r="I313" s="541"/>
      <c r="J313" s="533">
        <f>J300/I417</f>
        <v>-3.4070945945945952E-2</v>
      </c>
      <c r="K313" s="533">
        <f>K300/J417</f>
        <v>-2.0179401993355481E-2</v>
      </c>
      <c r="L313" s="533"/>
      <c r="M313" s="533">
        <f>M300/M417</f>
        <v>-3.6127521793275219E-2</v>
      </c>
      <c r="N313" s="533">
        <f>N300/N417</f>
        <v>-1.782428330574758E-2</v>
      </c>
      <c r="O313" s="533">
        <f>O300/O417</f>
        <v>0</v>
      </c>
      <c r="P313" s="543"/>
      <c r="Q313" s="341"/>
      <c r="R313" s="341"/>
      <c r="S313" s="341"/>
      <c r="T313" s="341"/>
      <c r="U313" s="341"/>
      <c r="V313" s="341"/>
      <c r="W313" s="341"/>
      <c r="X313" s="341"/>
      <c r="Y313" s="341"/>
      <c r="Z313" s="341"/>
      <c r="AA313" s="341"/>
      <c r="AB313" s="341"/>
      <c r="AC313" s="540"/>
      <c r="AD313" s="540"/>
      <c r="AE313" s="540"/>
      <c r="AF313" s="540"/>
      <c r="AH313" s="540"/>
      <c r="AI313" s="540"/>
      <c r="AJ313" s="540"/>
    </row>
    <row r="314" spans="1:36" x14ac:dyDescent="0.6">
      <c r="AC314" s="104"/>
      <c r="AD314" s="104"/>
      <c r="AE314" s="104"/>
      <c r="AF314" s="104"/>
      <c r="AH314" s="104"/>
      <c r="AI314" s="104"/>
      <c r="AJ314" s="104"/>
    </row>
    <row r="315" spans="1:36" x14ac:dyDescent="0.6">
      <c r="B315" s="337" t="s">
        <v>994</v>
      </c>
      <c r="AC315" s="104"/>
      <c r="AD315" s="104"/>
      <c r="AE315" s="104"/>
      <c r="AF315" s="104"/>
      <c r="AH315" s="104"/>
      <c r="AI315" s="104"/>
      <c r="AJ315" s="104"/>
    </row>
    <row r="316" spans="1:36" x14ac:dyDescent="0.6">
      <c r="B316" t="str">
        <f>B245</f>
        <v>Credit cards</v>
      </c>
      <c r="G316" s="43">
        <f>G233/(1-G326)</f>
        <v>3030.0245686588223</v>
      </c>
      <c r="H316" s="43">
        <f>H233/(1-H326)</f>
        <v>3406.5372450301302</v>
      </c>
      <c r="I316" s="43">
        <f>I233/(1-I326)</f>
        <v>3720.4376802795559</v>
      </c>
      <c r="J316" s="43">
        <f>J233/(1-J326)</f>
        <v>4215.4651105793855</v>
      </c>
      <c r="K316" s="43">
        <f>K233/(1-K326)</f>
        <v>4961.6798871554511</v>
      </c>
      <c r="M316" s="43">
        <f>M233/(1-M326)</f>
        <v>6489.5725075220153</v>
      </c>
      <c r="N316" s="43">
        <f>N233/(1-N326)</f>
        <v>6778.823206646779</v>
      </c>
      <c r="O316" s="43">
        <f>O233/(1-O326)</f>
        <v>7366.9822575493099</v>
      </c>
      <c r="AC316" s="104"/>
      <c r="AD316" s="104"/>
      <c r="AE316" s="104"/>
      <c r="AF316" s="104"/>
      <c r="AH316" s="104"/>
      <c r="AI316" s="104"/>
      <c r="AJ316" s="104"/>
    </row>
    <row r="317" spans="1:36" s="84" customFormat="1" x14ac:dyDescent="0.6">
      <c r="A317"/>
      <c r="B317" s="342" t="str">
        <f>B246</f>
        <v>Personal loans</v>
      </c>
      <c r="C317" s="342"/>
      <c r="D317" s="525"/>
      <c r="E317" s="525"/>
      <c r="F317" s="525"/>
      <c r="G317" s="525">
        <f>G318-G316</f>
        <v>200.73927495005501</v>
      </c>
      <c r="H317" s="525">
        <f>H318-H316</f>
        <v>407.89574466059139</v>
      </c>
      <c r="I317" s="525">
        <f>I318-I316</f>
        <v>609.45922693693865</v>
      </c>
      <c r="J317" s="525">
        <f>J318-J316</f>
        <v>799.20431090821785</v>
      </c>
      <c r="K317" s="525">
        <f>K318-K316</f>
        <v>1204.7907010798426</v>
      </c>
      <c r="L317" s="525"/>
      <c r="M317" s="525">
        <f>M318-M316</f>
        <v>1697.9922593173633</v>
      </c>
      <c r="N317" s="525">
        <f>N318-N316</f>
        <v>1724.0401927275689</v>
      </c>
      <c r="O317" s="525">
        <f>O318-O316</f>
        <v>1224.07074245069</v>
      </c>
      <c r="P317" s="525"/>
      <c r="Q317" s="525"/>
      <c r="R317" s="525"/>
      <c r="S317" s="525"/>
      <c r="T317" s="525"/>
      <c r="U317" s="525"/>
      <c r="V317" s="525"/>
      <c r="W317" s="525"/>
      <c r="X317" s="525"/>
      <c r="Y317" s="525"/>
      <c r="Z317" s="525"/>
      <c r="AA317" s="525"/>
      <c r="AB317" s="525"/>
      <c r="AC317" s="526"/>
      <c r="AD317" s="526"/>
      <c r="AE317" s="526"/>
      <c r="AF317" s="526"/>
      <c r="AH317" s="526"/>
      <c r="AI317" s="526"/>
      <c r="AJ317" s="526"/>
    </row>
    <row r="318" spans="1:36" x14ac:dyDescent="0.6">
      <c r="B318" t="str">
        <f>B248</f>
        <v>Loan book</v>
      </c>
      <c r="G318" s="43">
        <f>G236/(1-G328)</f>
        <v>3230.7638436088773</v>
      </c>
      <c r="H318" s="43">
        <f>H236/(1-H328)</f>
        <v>3814.4329896907216</v>
      </c>
      <c r="I318" s="43">
        <f>I236/(1-I328)</f>
        <v>4329.8969072164946</v>
      </c>
      <c r="J318" s="43">
        <f>J236/(1-J328)</f>
        <v>5014.6694214876034</v>
      </c>
      <c r="K318" s="43">
        <f>K236/(1-K328)</f>
        <v>6166.4705882352937</v>
      </c>
      <c r="M318" s="43">
        <f>M236/(1-M328)</f>
        <v>8187.5647668393785</v>
      </c>
      <c r="N318" s="43">
        <f>N236/(1-N328)</f>
        <v>8502.8633993743479</v>
      </c>
      <c r="O318" s="43">
        <f>O236/(1-O328)</f>
        <v>8591.0529999999999</v>
      </c>
      <c r="AC318" s="104"/>
      <c r="AD318" s="104"/>
      <c r="AE318" s="104"/>
      <c r="AF318" s="104"/>
      <c r="AH318" s="104"/>
      <c r="AI318" s="104"/>
      <c r="AJ318" s="104"/>
    </row>
    <row r="319" spans="1:36" x14ac:dyDescent="0.6">
      <c r="AC319" s="104"/>
      <c r="AD319" s="104"/>
      <c r="AE319" s="104"/>
      <c r="AF319" s="104"/>
      <c r="AH319" s="104"/>
      <c r="AI319" s="104"/>
      <c r="AJ319" s="104"/>
    </row>
    <row r="320" spans="1:36" x14ac:dyDescent="0.6">
      <c r="B320" s="337" t="s">
        <v>593</v>
      </c>
      <c r="AC320" s="104"/>
      <c r="AD320" s="104"/>
      <c r="AE320" s="104"/>
      <c r="AF320" s="104"/>
      <c r="AH320" s="104"/>
      <c r="AI320" s="104"/>
      <c r="AJ320" s="104"/>
    </row>
    <row r="321" spans="1:38" x14ac:dyDescent="0.6">
      <c r="B321" s="336" t="str">
        <f>B316</f>
        <v>Credit cards</v>
      </c>
      <c r="G321" s="43">
        <f t="shared" ref="G321:K322" si="107">G316-G233</f>
        <v>121.12456865882223</v>
      </c>
      <c r="H321" s="43">
        <f t="shared" si="107"/>
        <v>106.53724503013018</v>
      </c>
      <c r="I321" s="43">
        <f t="shared" si="107"/>
        <v>120.43768027955593</v>
      </c>
      <c r="J321" s="43">
        <f t="shared" si="107"/>
        <v>153.96511057938551</v>
      </c>
      <c r="K321" s="43">
        <f t="shared" si="107"/>
        <v>181.17988715545107</v>
      </c>
      <c r="M321" s="43">
        <f t="shared" ref="M321:O322" si="108">M316-M233</f>
        <v>255.57250752201526</v>
      </c>
      <c r="N321" s="43">
        <f t="shared" si="108"/>
        <v>300.35320664677874</v>
      </c>
      <c r="O321" s="43">
        <f t="shared" si="108"/>
        <v>379.03425754930959</v>
      </c>
      <c r="AC321" s="104"/>
      <c r="AD321" s="104"/>
      <c r="AE321" s="104"/>
      <c r="AF321" s="104"/>
      <c r="AH321" s="104"/>
      <c r="AI321" s="104"/>
      <c r="AJ321" s="104"/>
    </row>
    <row r="322" spans="1:38" x14ac:dyDescent="0.6">
      <c r="B322" s="342" t="str">
        <f>B317</f>
        <v>Personal loans</v>
      </c>
      <c r="C322" s="84"/>
      <c r="D322" s="343"/>
      <c r="E322" s="343"/>
      <c r="F322" s="343"/>
      <c r="G322" s="343">
        <f t="shared" si="107"/>
        <v>-1.5863064452938147</v>
      </c>
      <c r="H322" s="343">
        <f t="shared" si="107"/>
        <v>7.8957446605913901</v>
      </c>
      <c r="I322" s="343">
        <f t="shared" si="107"/>
        <v>9.4592269369386486</v>
      </c>
      <c r="J322" s="343">
        <f t="shared" si="107"/>
        <v>6.5043109082178034</v>
      </c>
      <c r="K322" s="343">
        <f t="shared" si="107"/>
        <v>9.9807010798426745</v>
      </c>
      <c r="L322" s="343"/>
      <c r="M322" s="343">
        <f t="shared" si="108"/>
        <v>30.992259317363278</v>
      </c>
      <c r="N322" s="343">
        <f t="shared" si="108"/>
        <v>48.264192727568798</v>
      </c>
      <c r="O322" s="343">
        <f t="shared" si="108"/>
        <v>-379.03425754931004</v>
      </c>
      <c r="AC322" s="104"/>
      <c r="AD322" s="104"/>
      <c r="AE322" s="104"/>
      <c r="AF322" s="104"/>
      <c r="AH322" s="104"/>
      <c r="AI322" s="104"/>
      <c r="AJ322" s="104"/>
    </row>
    <row r="323" spans="1:38" x14ac:dyDescent="0.6">
      <c r="B323" s="336" t="str">
        <f>B318</f>
        <v>Loan book</v>
      </c>
      <c r="G323" s="43">
        <f>G318-G236</f>
        <v>119.53826221352847</v>
      </c>
      <c r="H323" s="43">
        <f>H318-H236</f>
        <v>114.43298969072157</v>
      </c>
      <c r="I323" s="43">
        <f>I318-I236</f>
        <v>129.89690721649458</v>
      </c>
      <c r="J323" s="43">
        <f>J318-J236</f>
        <v>160.46942148760354</v>
      </c>
      <c r="K323" s="43">
        <f>K318-K236</f>
        <v>191.1605882352942</v>
      </c>
      <c r="M323" s="43">
        <f>M318-M236</f>
        <v>286.56476683937854</v>
      </c>
      <c r="N323" s="43">
        <f>N318-N236</f>
        <v>348.61739937434777</v>
      </c>
      <c r="O323" s="43">
        <f>O318-O236</f>
        <v>0</v>
      </c>
      <c r="AC323" s="104"/>
      <c r="AD323" s="104"/>
      <c r="AE323" s="104"/>
      <c r="AF323" s="104"/>
      <c r="AH323" s="104"/>
      <c r="AI323" s="104"/>
      <c r="AJ323" s="104"/>
    </row>
    <row r="324" spans="1:38" x14ac:dyDescent="0.6">
      <c r="B324" s="337"/>
      <c r="AC324" s="104"/>
      <c r="AD324" s="104"/>
      <c r="AE324" s="104"/>
      <c r="AF324" s="104"/>
      <c r="AH324" s="104"/>
      <c r="AI324" s="104"/>
      <c r="AJ324" s="104"/>
    </row>
    <row r="325" spans="1:38" x14ac:dyDescent="0.6">
      <c r="B325" s="20" t="s">
        <v>521</v>
      </c>
      <c r="AC325" s="104"/>
      <c r="AD325" s="104"/>
      <c r="AE325" s="104"/>
      <c r="AF325" s="104"/>
      <c r="AH325" s="104"/>
      <c r="AI325" s="104"/>
      <c r="AJ325" s="104"/>
    </row>
    <row r="326" spans="1:38" x14ac:dyDescent="0.6">
      <c r="B326" t="str">
        <f>B321</f>
        <v>Credit cards</v>
      </c>
      <c r="G326" s="520">
        <f>G402</f>
        <v>3.9974781033685014E-2</v>
      </c>
      <c r="H326" s="520">
        <f>H402</f>
        <v>3.1274352037559489E-2</v>
      </c>
      <c r="I326" s="520">
        <f>I402</f>
        <v>3.2371911755959271E-2</v>
      </c>
      <c r="J326" s="520">
        <f>J402</f>
        <v>3.6523872583593624E-2</v>
      </c>
      <c r="K326" s="520">
        <f>K402</f>
        <v>3.6515835619399965E-2</v>
      </c>
      <c r="M326" s="520">
        <f>M402</f>
        <v>3.9382025121960311E-2</v>
      </c>
      <c r="N326" s="520">
        <f>N402</f>
        <v>4.4307573378263666E-2</v>
      </c>
      <c r="O326" s="520">
        <f>O402</f>
        <v>5.1450409991268015E-2</v>
      </c>
      <c r="AC326" s="104"/>
      <c r="AD326" s="104"/>
      <c r="AE326" s="104"/>
      <c r="AF326" s="104"/>
      <c r="AH326" s="104"/>
      <c r="AI326" s="104"/>
      <c r="AJ326" s="104"/>
    </row>
    <row r="327" spans="1:38" x14ac:dyDescent="0.6">
      <c r="B327" s="84" t="str">
        <f>B322</f>
        <v>Personal loans</v>
      </c>
      <c r="C327" s="84"/>
      <c r="D327" s="343"/>
      <c r="E327" s="343"/>
      <c r="F327" s="343"/>
      <c r="G327" s="368">
        <f>G322/G317</f>
        <v>-7.9023222819176574E-3</v>
      </c>
      <c r="H327" s="368">
        <f>H322/H317</f>
        <v>1.9357261662931568E-2</v>
      </c>
      <c r="I327" s="368">
        <f>I322/I317</f>
        <v>1.5520688700504987E-2</v>
      </c>
      <c r="J327" s="368">
        <f>J322/J317</f>
        <v>8.1384832632174966E-3</v>
      </c>
      <c r="K327" s="368">
        <f>K322/K317</f>
        <v>8.2841783812715904E-3</v>
      </c>
      <c r="L327" s="343"/>
      <c r="M327" s="368">
        <f>M322/M317</f>
        <v>1.8252297174677915E-2</v>
      </c>
      <c r="N327" s="368">
        <f>N322/N317</f>
        <v>2.799481875837883E-2</v>
      </c>
      <c r="O327" s="368">
        <f>O322/O317</f>
        <v>-0.3096506144656741</v>
      </c>
      <c r="AC327" s="104"/>
      <c r="AD327" s="104"/>
      <c r="AE327" s="104"/>
      <c r="AF327" s="104"/>
      <c r="AH327" s="104"/>
      <c r="AI327" s="104"/>
      <c r="AJ327" s="104"/>
    </row>
    <row r="328" spans="1:38" s="233" customFormat="1" x14ac:dyDescent="0.6">
      <c r="A328"/>
      <c r="B328" t="str">
        <f>B323</f>
        <v>Loan book</v>
      </c>
      <c r="C328" s="337"/>
      <c r="D328" s="521">
        <f t="shared" ref="D328:K328" si="109">D387</f>
        <v>0.05</v>
      </c>
      <c r="E328" s="521">
        <f t="shared" si="109"/>
        <v>6.2E-2</v>
      </c>
      <c r="F328" s="521">
        <f t="shared" si="109"/>
        <v>5.1999999999999998E-2</v>
      </c>
      <c r="G328" s="521">
        <f t="shared" si="109"/>
        <v>3.6999999999999998E-2</v>
      </c>
      <c r="H328" s="521">
        <f t="shared" si="109"/>
        <v>0.03</v>
      </c>
      <c r="I328" s="521">
        <f t="shared" si="109"/>
        <v>0.03</v>
      </c>
      <c r="J328" s="521">
        <f t="shared" si="109"/>
        <v>3.2000000000000001E-2</v>
      </c>
      <c r="K328" s="521">
        <f t="shared" si="109"/>
        <v>3.1E-2</v>
      </c>
      <c r="L328" s="138"/>
      <c r="M328" s="521">
        <f>M387</f>
        <v>3.5000000000000003E-2</v>
      </c>
      <c r="N328" s="521">
        <v>4.1000000000000002E-2</v>
      </c>
      <c r="O328" s="521"/>
      <c r="P328" s="138"/>
      <c r="Q328" s="138"/>
      <c r="R328" s="138"/>
      <c r="S328" s="138"/>
      <c r="T328" s="138"/>
      <c r="U328" s="138"/>
      <c r="V328" s="138"/>
      <c r="W328" s="138"/>
      <c r="X328" s="138"/>
      <c r="Y328" s="138"/>
      <c r="Z328" s="138"/>
      <c r="AA328" s="138"/>
      <c r="AB328" s="138"/>
      <c r="AC328" s="398"/>
      <c r="AD328" s="398"/>
      <c r="AE328" s="398"/>
      <c r="AF328" s="398"/>
      <c r="AH328" s="398"/>
      <c r="AI328" s="398"/>
      <c r="AJ328" s="398"/>
      <c r="AK328" s="138"/>
      <c r="AL328" s="138"/>
    </row>
    <row r="329" spans="1:38" s="233" customFormat="1" x14ac:dyDescent="0.6">
      <c r="A329"/>
      <c r="B329" s="337"/>
      <c r="C329" s="337"/>
      <c r="D329" s="138"/>
      <c r="E329" s="138"/>
      <c r="F329" s="138"/>
      <c r="G329" s="138"/>
      <c r="H329" s="138"/>
      <c r="I329" s="138"/>
      <c r="J329" s="397"/>
      <c r="K329" s="138"/>
      <c r="L329" s="138"/>
      <c r="M329" s="138"/>
      <c r="N329" s="138"/>
      <c r="O329" s="138"/>
      <c r="P329" s="138"/>
      <c r="Q329" s="138"/>
      <c r="R329" s="138"/>
      <c r="S329" s="138"/>
      <c r="T329" s="138"/>
      <c r="U329" s="138"/>
      <c r="V329" s="138"/>
      <c r="W329" s="138"/>
      <c r="X329" s="138"/>
      <c r="Y329" s="138"/>
      <c r="Z329" s="138"/>
      <c r="AA329" s="138"/>
      <c r="AB329" s="138"/>
      <c r="AC329" s="398"/>
      <c r="AD329" s="398"/>
      <c r="AE329" s="398"/>
      <c r="AF329" s="398"/>
      <c r="AH329" s="398"/>
      <c r="AI329" s="398"/>
      <c r="AJ329" s="398"/>
      <c r="AK329" s="138"/>
      <c r="AL329" s="138"/>
    </row>
    <row r="330" spans="1:38" s="403" customFormat="1" x14ac:dyDescent="0.6">
      <c r="A330"/>
      <c r="B330" s="337" t="s">
        <v>389</v>
      </c>
      <c r="C330" s="337"/>
      <c r="D330" s="401"/>
      <c r="E330" s="401"/>
      <c r="F330" s="401">
        <v>3.1</v>
      </c>
      <c r="G330" s="401"/>
      <c r="H330" s="401"/>
      <c r="I330" s="401"/>
      <c r="J330" s="494">
        <f>J212</f>
        <v>4.9258121158911319</v>
      </c>
      <c r="K330" s="494">
        <f>K212</f>
        <v>5.6</v>
      </c>
      <c r="L330" s="495"/>
      <c r="M330" s="494">
        <f>M212</f>
        <v>6.7</v>
      </c>
      <c r="N330" s="494">
        <f>N212</f>
        <v>7.8</v>
      </c>
      <c r="O330" s="494">
        <f>O212</f>
        <v>7.9</v>
      </c>
      <c r="P330" s="401"/>
      <c r="Q330" s="401"/>
      <c r="R330" s="401"/>
      <c r="S330" s="401"/>
      <c r="T330" s="401"/>
      <c r="U330" s="401"/>
      <c r="V330" s="401"/>
      <c r="W330" s="401"/>
      <c r="X330" s="401"/>
      <c r="Y330" s="401"/>
      <c r="Z330" s="401"/>
      <c r="AA330" s="401"/>
      <c r="AB330" s="401"/>
      <c r="AC330" s="402"/>
      <c r="AD330" s="402"/>
      <c r="AE330" s="402"/>
      <c r="AF330" s="402"/>
      <c r="AH330" s="402"/>
      <c r="AI330" s="402"/>
      <c r="AJ330" s="402"/>
      <c r="AK330" s="401"/>
      <c r="AL330" s="401"/>
    </row>
    <row r="331" spans="1:38" s="233" customFormat="1" x14ac:dyDescent="0.6">
      <c r="A331"/>
      <c r="B331" s="337"/>
      <c r="C331" s="337"/>
      <c r="D331" s="138"/>
      <c r="E331" s="138"/>
      <c r="F331" s="138"/>
      <c r="G331" s="138"/>
      <c r="H331" s="138"/>
      <c r="I331" s="138"/>
      <c r="J331" s="397"/>
      <c r="K331" s="138"/>
      <c r="L331" s="138"/>
      <c r="M331" s="138"/>
      <c r="N331" s="138"/>
      <c r="O331" s="138"/>
      <c r="P331" s="138"/>
      <c r="Q331" s="138"/>
      <c r="R331" s="138"/>
      <c r="S331" s="138"/>
      <c r="T331" s="138"/>
      <c r="U331" s="138"/>
      <c r="V331" s="138"/>
      <c r="W331" s="138"/>
      <c r="X331" s="138"/>
      <c r="Y331" s="138"/>
      <c r="Z331" s="138"/>
      <c r="AA331" s="138"/>
      <c r="AB331" s="138"/>
      <c r="AC331" s="398"/>
      <c r="AD331" s="398"/>
      <c r="AE331" s="398"/>
      <c r="AF331" s="398"/>
      <c r="AH331" s="398"/>
      <c r="AI331" s="398"/>
      <c r="AJ331" s="398"/>
      <c r="AK331" s="138"/>
      <c r="AL331" s="138"/>
    </row>
    <row r="332" spans="1:38" x14ac:dyDescent="0.6">
      <c r="B332" s="82" t="s">
        <v>345</v>
      </c>
      <c r="C332" s="82"/>
      <c r="D332" s="143"/>
      <c r="E332" s="143"/>
      <c r="F332" s="143"/>
      <c r="G332" s="143"/>
      <c r="H332" s="143"/>
      <c r="I332" s="143"/>
      <c r="J332" s="143"/>
      <c r="K332" s="143"/>
      <c r="L332" s="143"/>
      <c r="M332" s="143"/>
      <c r="N332" s="143"/>
      <c r="O332" s="143"/>
      <c r="P332" s="143">
        <f>Q332</f>
        <v>34</v>
      </c>
      <c r="Q332" s="155">
        <f>Drivers!G29</f>
        <v>34</v>
      </c>
      <c r="R332" s="155">
        <v>35</v>
      </c>
      <c r="S332" s="155">
        <v>37</v>
      </c>
      <c r="T332" s="276">
        <v>38.9</v>
      </c>
      <c r="U332" s="276">
        <f>V332</f>
        <v>40.6</v>
      </c>
      <c r="V332" s="155">
        <f>Drivers!H29</f>
        <v>40.6</v>
      </c>
      <c r="W332" s="155">
        <v>41.2</v>
      </c>
      <c r="X332" s="155">
        <v>41.8</v>
      </c>
      <c r="Y332" s="143"/>
      <c r="Z332" s="143"/>
      <c r="AA332" s="143"/>
      <c r="AB332" s="79"/>
      <c r="AC332" s="399"/>
      <c r="AD332" s="399"/>
      <c r="AE332" s="399"/>
      <c r="AF332" s="399"/>
      <c r="AH332" s="399"/>
      <c r="AI332" s="399"/>
      <c r="AJ332" s="399"/>
      <c r="AK332" s="79"/>
      <c r="AL332" s="79"/>
    </row>
    <row r="333" spans="1:38" x14ac:dyDescent="0.6">
      <c r="B333" s="390" t="s">
        <v>2105</v>
      </c>
      <c r="C333" s="82"/>
      <c r="D333" s="143"/>
      <c r="E333" s="143"/>
      <c r="F333" s="143"/>
      <c r="G333" s="143"/>
      <c r="H333" s="143"/>
      <c r="I333" s="143"/>
      <c r="J333" s="143"/>
      <c r="K333" s="143"/>
      <c r="L333" s="143"/>
      <c r="M333" s="143"/>
      <c r="N333" s="143"/>
      <c r="O333" s="143"/>
      <c r="P333" s="143"/>
      <c r="Q333" s="155"/>
      <c r="R333" s="155"/>
      <c r="S333" s="155"/>
      <c r="T333" s="276"/>
      <c r="U333" s="276"/>
      <c r="V333" s="155"/>
      <c r="W333" s="155"/>
      <c r="X333" s="155"/>
      <c r="Y333" s="143"/>
      <c r="Z333" s="143"/>
      <c r="AA333" s="143"/>
      <c r="AB333" s="79"/>
      <c r="AC333" s="399"/>
      <c r="AD333" s="399"/>
      <c r="AE333" s="399"/>
      <c r="AF333" s="399"/>
      <c r="AH333" s="399"/>
      <c r="AI333" s="399"/>
      <c r="AJ333" s="399"/>
      <c r="AK333" s="79"/>
      <c r="AL333" s="79"/>
    </row>
    <row r="334" spans="1:38" x14ac:dyDescent="0.6">
      <c r="B334" s="390" t="s">
        <v>2106</v>
      </c>
      <c r="C334" s="82"/>
      <c r="D334" s="143"/>
      <c r="E334" s="143"/>
      <c r="F334" s="143"/>
      <c r="G334" s="143"/>
      <c r="H334" s="143"/>
      <c r="I334" s="143"/>
      <c r="J334" s="143"/>
      <c r="K334" s="143"/>
      <c r="L334" s="143"/>
      <c r="M334" s="143"/>
      <c r="N334" s="143"/>
      <c r="O334" s="143"/>
      <c r="P334" s="143"/>
      <c r="Q334" s="155"/>
      <c r="R334" s="155"/>
      <c r="S334" s="155"/>
      <c r="T334" s="276"/>
      <c r="U334" s="276"/>
      <c r="V334" s="155"/>
      <c r="W334" s="155"/>
      <c r="X334" s="155"/>
      <c r="Y334" s="143"/>
      <c r="Z334" s="143"/>
      <c r="AA334" s="143"/>
      <c r="AB334" s="79"/>
      <c r="AC334" s="399"/>
      <c r="AD334" s="399"/>
      <c r="AE334" s="399"/>
      <c r="AF334" s="399"/>
      <c r="AH334" s="399"/>
      <c r="AI334" s="399"/>
      <c r="AJ334" s="399"/>
      <c r="AK334" s="79"/>
      <c r="AL334" s="79"/>
    </row>
    <row r="335" spans="1:38" x14ac:dyDescent="0.6">
      <c r="B335" s="390"/>
      <c r="C335" s="82"/>
      <c r="D335" s="143"/>
      <c r="E335" s="143"/>
      <c r="F335" s="143"/>
      <c r="G335" s="143"/>
      <c r="H335" s="143"/>
      <c r="I335" s="143"/>
      <c r="J335" s="143"/>
      <c r="K335" s="143"/>
      <c r="L335" s="143"/>
      <c r="M335" s="143"/>
      <c r="N335" s="143"/>
      <c r="O335" s="143"/>
      <c r="P335" s="143"/>
      <c r="Q335" s="155"/>
      <c r="R335" s="155"/>
      <c r="S335" s="155"/>
      <c r="T335" s="276"/>
      <c r="U335" s="276"/>
      <c r="V335" s="155"/>
      <c r="W335" s="155"/>
      <c r="X335" s="155"/>
      <c r="Y335" s="143"/>
      <c r="Z335" s="143"/>
      <c r="AA335" s="143"/>
      <c r="AB335" s="79"/>
      <c r="AC335" s="399"/>
      <c r="AD335" s="399"/>
      <c r="AE335" s="399"/>
      <c r="AF335" s="399"/>
      <c r="AH335" s="399"/>
      <c r="AI335" s="399"/>
      <c r="AJ335" s="399"/>
      <c r="AK335" s="79"/>
      <c r="AL335" s="79"/>
    </row>
    <row r="336" spans="1:38" x14ac:dyDescent="0.6">
      <c r="B336" s="79" t="s">
        <v>2103</v>
      </c>
      <c r="C336" s="82"/>
      <c r="D336" s="143"/>
      <c r="E336" s="143"/>
      <c r="F336" s="143"/>
      <c r="G336" s="143"/>
      <c r="H336" s="143"/>
      <c r="I336" s="143"/>
      <c r="J336" s="143"/>
      <c r="K336" s="143"/>
      <c r="L336" s="143"/>
      <c r="M336" s="143"/>
      <c r="N336" s="143"/>
      <c r="O336" s="143"/>
      <c r="P336" s="143"/>
      <c r="Q336" s="155"/>
      <c r="R336" s="155">
        <f t="shared" ref="R336:T336" si="110">R332-Q332</f>
        <v>1</v>
      </c>
      <c r="S336" s="155">
        <f t="shared" si="110"/>
        <v>2</v>
      </c>
      <c r="T336" s="155">
        <f t="shared" si="110"/>
        <v>1.8999999999999986</v>
      </c>
      <c r="U336" s="155">
        <f>U332-T332</f>
        <v>1.7000000000000028</v>
      </c>
      <c r="V336" s="155"/>
      <c r="W336" s="155"/>
      <c r="X336" s="155"/>
      <c r="Y336" s="143"/>
      <c r="Z336" s="143"/>
      <c r="AA336" s="143"/>
      <c r="AB336" s="79"/>
      <c r="AC336" s="399"/>
      <c r="AD336" s="399"/>
      <c r="AE336" s="399"/>
      <c r="AF336" s="399"/>
      <c r="AH336" s="399"/>
      <c r="AI336" s="399"/>
      <c r="AJ336" s="399"/>
      <c r="AK336" s="79"/>
      <c r="AL336" s="79"/>
    </row>
    <row r="337" spans="2:38" x14ac:dyDescent="0.6">
      <c r="B337" s="79" t="s">
        <v>2104</v>
      </c>
      <c r="C337" s="82"/>
      <c r="D337" s="143"/>
      <c r="E337" s="143"/>
      <c r="F337" s="143"/>
      <c r="G337" s="143"/>
      <c r="H337" s="143"/>
      <c r="I337" s="143"/>
      <c r="J337" s="143"/>
      <c r="K337" s="143"/>
      <c r="L337" s="143"/>
      <c r="M337" s="143"/>
      <c r="N337" s="143"/>
      <c r="O337" s="143"/>
      <c r="P337" s="143"/>
      <c r="Q337" s="309">
        <f t="shared" ref="Q337:V337" si="111">Q332/Q208</f>
        <v>0.55555555555555558</v>
      </c>
      <c r="R337" s="309">
        <f t="shared" si="111"/>
        <v>0.53929121725731888</v>
      </c>
      <c r="S337" s="309">
        <f t="shared" si="111"/>
        <v>0.53779069767441867</v>
      </c>
      <c r="T337" s="309">
        <f t="shared" si="111"/>
        <v>0.52710027100271006</v>
      </c>
      <c r="U337" s="309">
        <f t="shared" si="111"/>
        <v>0.52051282051282055</v>
      </c>
      <c r="V337" s="309">
        <f t="shared" si="111"/>
        <v>0.52051282051282055</v>
      </c>
      <c r="W337" s="309"/>
      <c r="X337" s="309"/>
      <c r="Y337" s="143"/>
      <c r="Z337" s="143"/>
      <c r="AA337" s="143"/>
      <c r="AB337" s="79"/>
      <c r="AC337" s="399"/>
      <c r="AD337" s="399"/>
      <c r="AE337" s="399"/>
      <c r="AF337" s="399"/>
      <c r="AH337" s="399"/>
      <c r="AI337" s="399"/>
      <c r="AJ337" s="399"/>
      <c r="AK337" s="79"/>
      <c r="AL337" s="79"/>
    </row>
    <row r="338" spans="2:38" x14ac:dyDescent="0.6">
      <c r="B338" s="79"/>
      <c r="C338" s="82"/>
      <c r="D338" s="143"/>
      <c r="E338" s="143"/>
      <c r="F338" s="143"/>
      <c r="G338" s="143"/>
      <c r="H338" s="143"/>
      <c r="I338" s="143"/>
      <c r="J338" s="143"/>
      <c r="K338" s="143"/>
      <c r="L338" s="143"/>
      <c r="M338" s="143"/>
      <c r="N338" s="143"/>
      <c r="O338" s="143"/>
      <c r="P338" s="143"/>
      <c r="Q338" s="155"/>
      <c r="R338" s="155"/>
      <c r="S338" s="155"/>
      <c r="T338" s="155"/>
      <c r="U338" s="276"/>
      <c r="V338" s="155"/>
      <c r="W338" s="155"/>
      <c r="X338" s="155"/>
      <c r="Y338" s="143"/>
      <c r="Z338" s="143"/>
      <c r="AA338" s="143"/>
      <c r="AB338" s="79"/>
      <c r="AC338" s="399"/>
      <c r="AD338" s="399"/>
      <c r="AE338" s="399"/>
      <c r="AF338" s="399"/>
      <c r="AH338" s="399"/>
      <c r="AI338" s="399"/>
      <c r="AJ338" s="399"/>
      <c r="AK338" s="79"/>
      <c r="AL338" s="79"/>
    </row>
    <row r="339" spans="2:38" x14ac:dyDescent="0.6">
      <c r="B339" s="79" t="s">
        <v>679</v>
      </c>
      <c r="C339" s="79"/>
      <c r="D339" s="143"/>
      <c r="E339" s="143"/>
      <c r="F339" s="155">
        <v>5.7</v>
      </c>
      <c r="G339" s="155"/>
      <c r="H339" s="143"/>
      <c r="I339" s="143"/>
      <c r="J339" s="155"/>
      <c r="K339" s="143"/>
      <c r="L339" s="143"/>
      <c r="M339" s="143"/>
      <c r="N339" s="143"/>
      <c r="O339" s="143"/>
      <c r="P339" s="143"/>
      <c r="Q339" s="143"/>
      <c r="R339" s="143"/>
      <c r="S339" s="143"/>
      <c r="T339" s="143"/>
      <c r="U339" s="143"/>
      <c r="V339" s="143"/>
      <c r="W339" s="143"/>
      <c r="X339" s="143"/>
      <c r="Y339" s="143"/>
      <c r="Z339" s="143"/>
      <c r="AA339" s="143"/>
      <c r="AB339" s="79"/>
      <c r="AC339" s="79"/>
      <c r="AD339" s="79"/>
      <c r="AE339" s="79"/>
      <c r="AF339" s="79"/>
      <c r="AH339" s="79"/>
      <c r="AI339" s="79"/>
      <c r="AJ339" s="79"/>
      <c r="AK339" s="79"/>
      <c r="AL339" s="79"/>
    </row>
    <row r="340" spans="2:38" x14ac:dyDescent="0.6">
      <c r="B340" s="79" t="s">
        <v>700</v>
      </c>
      <c r="C340" s="79"/>
      <c r="D340" s="143"/>
      <c r="E340" s="143"/>
      <c r="F340" s="143"/>
      <c r="G340" s="491">
        <v>7.6</v>
      </c>
      <c r="H340" s="491">
        <v>7.5</v>
      </c>
      <c r="I340" s="491">
        <v>9.9</v>
      </c>
      <c r="J340" s="491">
        <v>12.1</v>
      </c>
      <c r="K340" s="491">
        <v>14.3</v>
      </c>
      <c r="L340" s="143">
        <f>Drivers!F210</f>
        <v>42.581076066790345</v>
      </c>
      <c r="M340" s="491">
        <v>15.9</v>
      </c>
      <c r="N340" s="491">
        <v>20</v>
      </c>
      <c r="O340" s="491">
        <v>21.2</v>
      </c>
      <c r="P340" s="491">
        <v>23.8</v>
      </c>
      <c r="Q340" s="143">
        <f>Drivers!G193</f>
        <v>81</v>
      </c>
      <c r="R340" s="491">
        <v>23.3</v>
      </c>
      <c r="S340" s="491">
        <v>26.3</v>
      </c>
      <c r="T340" s="491">
        <v>29</v>
      </c>
      <c r="U340" s="491">
        <v>32.6</v>
      </c>
      <c r="V340" s="143">
        <f>Drivers!H193</f>
        <v>111.1</v>
      </c>
      <c r="W340" s="491">
        <v>31.4</v>
      </c>
      <c r="X340" s="491">
        <v>31.4</v>
      </c>
      <c r="Y340" s="114">
        <v>40</v>
      </c>
      <c r="Z340" s="143">
        <f>AA340-Y340-X340-W340</f>
        <v>47.868338676408008</v>
      </c>
      <c r="AA340" s="143">
        <f>Drivers!I193</f>
        <v>150.66833867640801</v>
      </c>
      <c r="AB340" s="79"/>
      <c r="AC340" s="399"/>
      <c r="AD340" s="399"/>
      <c r="AE340" s="399"/>
      <c r="AF340" s="399"/>
      <c r="AH340" s="399"/>
      <c r="AI340" s="399"/>
      <c r="AJ340" s="399"/>
      <c r="AK340" s="79"/>
      <c r="AL340" s="79"/>
    </row>
    <row r="341" spans="2:38" x14ac:dyDescent="0.6">
      <c r="B341" s="79" t="s">
        <v>680</v>
      </c>
      <c r="C341" s="79"/>
      <c r="D341" s="143"/>
      <c r="E341" s="143"/>
      <c r="F341" s="143"/>
      <c r="G341" s="143"/>
      <c r="H341" s="143"/>
      <c r="I341" s="143"/>
      <c r="J341" s="143"/>
      <c r="K341" s="143"/>
      <c r="L341" s="143"/>
      <c r="M341" s="143"/>
      <c r="N341" s="143"/>
      <c r="O341" s="143"/>
      <c r="P341" s="155">
        <v>15.1</v>
      </c>
      <c r="Q341" s="155"/>
      <c r="R341" s="155">
        <v>15.1</v>
      </c>
      <c r="S341" s="155">
        <v>17.100000000000001</v>
      </c>
      <c r="T341" s="155">
        <v>18.7</v>
      </c>
      <c r="U341" s="155">
        <v>20.7</v>
      </c>
      <c r="V341" s="155"/>
      <c r="W341" s="155">
        <v>20.2</v>
      </c>
      <c r="X341" s="155">
        <v>20.3</v>
      </c>
      <c r="Y341" s="143"/>
      <c r="Z341" s="143"/>
      <c r="AA341" s="143"/>
      <c r="AB341" s="79"/>
      <c r="AC341" s="399"/>
      <c r="AD341" s="399"/>
      <c r="AE341" s="399"/>
      <c r="AF341" s="399"/>
      <c r="AH341" s="399"/>
      <c r="AI341" s="399"/>
      <c r="AJ341" s="399"/>
      <c r="AK341" s="79"/>
      <c r="AL341" s="79"/>
    </row>
    <row r="342" spans="2:38" x14ac:dyDescent="0.6">
      <c r="B342" s="79" t="s">
        <v>681</v>
      </c>
      <c r="C342" s="79"/>
      <c r="D342" s="143"/>
      <c r="E342" s="143"/>
      <c r="F342" s="143"/>
      <c r="G342" s="143"/>
      <c r="H342" s="143"/>
      <c r="I342" s="143"/>
      <c r="J342" s="143"/>
      <c r="K342" s="143"/>
      <c r="L342" s="143"/>
      <c r="M342" s="143"/>
      <c r="N342" s="143"/>
      <c r="O342" s="143"/>
      <c r="P342" s="155">
        <f>P340-P341</f>
        <v>8.7000000000000011</v>
      </c>
      <c r="Q342" s="155"/>
      <c r="R342" s="155">
        <f>R340-R341</f>
        <v>8.2000000000000011</v>
      </c>
      <c r="S342" s="155">
        <f>S340-S341</f>
        <v>9.1999999999999993</v>
      </c>
      <c r="T342" s="155">
        <f>T340-T341</f>
        <v>10.3</v>
      </c>
      <c r="U342" s="155">
        <f>U340-U341</f>
        <v>11.900000000000002</v>
      </c>
      <c r="V342" s="155"/>
      <c r="W342" s="155">
        <f>W340-W341</f>
        <v>11.2</v>
      </c>
      <c r="X342" s="155">
        <f>X340-X341</f>
        <v>11.099999999999998</v>
      </c>
      <c r="Y342" s="143"/>
      <c r="Z342" s="143"/>
      <c r="AA342" s="143"/>
      <c r="AB342" s="79"/>
      <c r="AC342" s="79"/>
      <c r="AD342" s="79"/>
      <c r="AE342" s="79"/>
      <c r="AF342" s="79"/>
      <c r="AH342" s="79"/>
      <c r="AI342" s="79"/>
      <c r="AJ342" s="79"/>
      <c r="AK342" s="79"/>
      <c r="AL342" s="79"/>
    </row>
    <row r="343" spans="2:38" x14ac:dyDescent="0.6">
      <c r="B343" s="79"/>
      <c r="C343" s="79"/>
      <c r="D343" s="143"/>
      <c r="E343" s="143"/>
      <c r="F343" s="143"/>
      <c r="G343" s="143"/>
      <c r="H343" s="143"/>
      <c r="I343" s="143"/>
      <c r="J343" s="143"/>
      <c r="K343" s="143"/>
      <c r="L343" s="143"/>
      <c r="M343" s="143"/>
      <c r="N343" s="143"/>
      <c r="O343" s="143"/>
      <c r="P343" s="143"/>
      <c r="Q343" s="143"/>
      <c r="R343" s="143"/>
      <c r="S343" s="143"/>
      <c r="T343" s="143"/>
      <c r="U343" s="143"/>
      <c r="V343" s="143"/>
      <c r="W343" s="143"/>
      <c r="X343" s="143"/>
      <c r="Y343" s="143"/>
      <c r="Z343" s="143"/>
      <c r="AA343" s="143"/>
      <c r="AB343" s="79"/>
      <c r="AC343" s="79"/>
      <c r="AD343" s="79"/>
      <c r="AE343" s="79"/>
      <c r="AF343" s="79"/>
      <c r="AH343" s="79"/>
      <c r="AI343" s="79"/>
      <c r="AJ343" s="79"/>
      <c r="AK343" s="79"/>
      <c r="AL343" s="79"/>
    </row>
    <row r="344" spans="2:38" x14ac:dyDescent="0.6">
      <c r="B344" s="79" t="s">
        <v>2414</v>
      </c>
      <c r="C344" s="79"/>
      <c r="D344" s="143"/>
      <c r="E344" s="143"/>
      <c r="F344" s="143"/>
      <c r="G344" s="143"/>
      <c r="H344" s="143"/>
      <c r="I344" s="143"/>
      <c r="J344" s="143"/>
      <c r="K344" s="143"/>
      <c r="L344" s="143"/>
      <c r="M344" s="143"/>
      <c r="N344" s="143"/>
      <c r="O344" s="143"/>
      <c r="P344" s="143">
        <f>P341*1000/P332</f>
        <v>444.11764705882354</v>
      </c>
      <c r="Q344" s="143"/>
      <c r="R344" s="143">
        <f t="shared" ref="R344:T344" si="112">R341*1000/R332</f>
        <v>431.42857142857144</v>
      </c>
      <c r="S344" s="143">
        <f t="shared" si="112"/>
        <v>462.16216216216219</v>
      </c>
      <c r="T344" s="143">
        <f t="shared" si="112"/>
        <v>480.71979434447303</v>
      </c>
      <c r="U344" s="143">
        <f>U341*1000/U332</f>
        <v>509.85221674876846</v>
      </c>
      <c r="V344" s="143"/>
      <c r="W344" s="143">
        <f>W341*1000/W332</f>
        <v>490.2912621359223</v>
      </c>
      <c r="X344" s="143">
        <f>X341*1000/X332</f>
        <v>485.64593301435411</v>
      </c>
      <c r="Y344" s="143"/>
      <c r="Z344" s="143"/>
      <c r="AA344" s="143"/>
      <c r="AB344" s="79"/>
      <c r="AC344" s="79"/>
      <c r="AD344" s="79"/>
      <c r="AE344" s="79"/>
      <c r="AF344" s="79"/>
      <c r="AH344" s="79"/>
      <c r="AI344" s="79"/>
      <c r="AJ344" s="79"/>
      <c r="AK344" s="79"/>
      <c r="AL344" s="79"/>
    </row>
    <row r="345" spans="2:38" x14ac:dyDescent="0.6">
      <c r="B345" s="79" t="s">
        <v>2415</v>
      </c>
      <c r="C345" s="79"/>
      <c r="D345" s="143"/>
      <c r="E345" s="143"/>
      <c r="F345" s="143"/>
      <c r="G345" s="143"/>
      <c r="H345" s="143"/>
      <c r="I345" s="143"/>
      <c r="J345" s="143"/>
      <c r="K345" s="143"/>
      <c r="L345" s="143"/>
      <c r="M345" s="143"/>
      <c r="N345" s="143"/>
      <c r="O345" s="143"/>
      <c r="P345" s="143">
        <f>P344/3</f>
        <v>148.0392156862745</v>
      </c>
      <c r="Q345" s="143"/>
      <c r="R345" s="143">
        <f>R344/3</f>
        <v>143.80952380952382</v>
      </c>
      <c r="S345" s="143">
        <f>S344/3</f>
        <v>154.05405405405406</v>
      </c>
      <c r="T345" s="143">
        <f>T344/3</f>
        <v>160.23993144815768</v>
      </c>
      <c r="U345" s="143">
        <f>U344/3</f>
        <v>169.95073891625614</v>
      </c>
      <c r="V345" s="143"/>
      <c r="W345" s="143">
        <f>W344/3</f>
        <v>163.43042071197411</v>
      </c>
      <c r="X345" s="143">
        <f>X344/3</f>
        <v>161.88197767145138</v>
      </c>
      <c r="Y345" s="143"/>
      <c r="Z345" s="143"/>
      <c r="AA345" s="143"/>
      <c r="AB345" s="79"/>
      <c r="AC345" s="79"/>
      <c r="AD345" s="79"/>
      <c r="AE345" s="79"/>
      <c r="AF345" s="79"/>
      <c r="AH345" s="79"/>
      <c r="AI345" s="79"/>
      <c r="AJ345" s="79"/>
      <c r="AK345" s="79"/>
      <c r="AL345" s="79"/>
    </row>
    <row r="346" spans="2:38" x14ac:dyDescent="0.6">
      <c r="B346" s="79" t="s">
        <v>2417</v>
      </c>
      <c r="C346" s="79"/>
      <c r="D346" s="143"/>
      <c r="E346" s="143"/>
      <c r="F346" s="143"/>
      <c r="G346" s="143"/>
      <c r="H346" s="143"/>
      <c r="I346" s="143"/>
      <c r="J346" s="143"/>
      <c r="K346" s="143"/>
      <c r="L346" s="143"/>
      <c r="M346" s="143"/>
      <c r="N346" s="143"/>
      <c r="O346" s="143"/>
      <c r="P346" s="143">
        <v>130</v>
      </c>
      <c r="Q346" s="143"/>
      <c r="R346" s="143">
        <v>130</v>
      </c>
      <c r="S346" s="143">
        <v>130</v>
      </c>
      <c r="T346" s="143">
        <v>130</v>
      </c>
      <c r="U346" s="143">
        <v>130</v>
      </c>
      <c r="V346" s="143"/>
      <c r="W346" s="143">
        <v>130</v>
      </c>
      <c r="X346" s="143">
        <v>130</v>
      </c>
      <c r="Y346" s="143"/>
      <c r="Z346" s="143"/>
      <c r="AA346" s="143"/>
      <c r="AB346" s="79"/>
      <c r="AC346" s="79"/>
      <c r="AD346" s="79"/>
      <c r="AE346" s="79"/>
      <c r="AF346" s="79"/>
      <c r="AH346" s="79"/>
      <c r="AI346" s="79"/>
      <c r="AJ346" s="79"/>
      <c r="AK346" s="79"/>
      <c r="AL346" s="79"/>
    </row>
    <row r="347" spans="2:38" x14ac:dyDescent="0.6">
      <c r="B347" s="79" t="s">
        <v>2416</v>
      </c>
      <c r="C347" s="79"/>
      <c r="D347" s="143"/>
      <c r="E347" s="143"/>
      <c r="F347" s="143"/>
      <c r="G347" s="143"/>
      <c r="H347" s="143"/>
      <c r="I347" s="143"/>
      <c r="J347" s="143"/>
      <c r="K347" s="143"/>
      <c r="L347" s="143"/>
      <c r="M347" s="143"/>
      <c r="N347" s="143"/>
      <c r="O347" s="143"/>
      <c r="P347" s="143">
        <f t="shared" ref="P347:T347" si="113">P341*1000*P346/10000</f>
        <v>196.3</v>
      </c>
      <c r="Q347" s="143"/>
      <c r="R347" s="143">
        <f t="shared" si="113"/>
        <v>196.3</v>
      </c>
      <c r="S347" s="143">
        <f t="shared" si="113"/>
        <v>222.3</v>
      </c>
      <c r="T347" s="143">
        <f t="shared" si="113"/>
        <v>243.1</v>
      </c>
      <c r="U347" s="143">
        <f>U341*1000*U346/10000</f>
        <v>269.10000000000002</v>
      </c>
      <c r="V347" s="143"/>
      <c r="W347" s="143">
        <f>W341*1000*W346/10000</f>
        <v>262.60000000000002</v>
      </c>
      <c r="X347" s="143">
        <f>X341*1000*X346/10000</f>
        <v>263.89999999999998</v>
      </c>
      <c r="Y347" s="143"/>
      <c r="Z347" s="143"/>
      <c r="AA347" s="143"/>
      <c r="AB347" s="79"/>
      <c r="AC347" s="79"/>
      <c r="AD347" s="79"/>
      <c r="AE347" s="79"/>
      <c r="AF347" s="79"/>
      <c r="AH347" s="79"/>
      <c r="AI347" s="79"/>
      <c r="AJ347" s="79"/>
      <c r="AK347" s="79"/>
      <c r="AL347" s="79"/>
    </row>
    <row r="348" spans="2:38" x14ac:dyDescent="0.6">
      <c r="B348" s="79"/>
      <c r="C348" s="79"/>
      <c r="D348" s="143"/>
      <c r="E348" s="143"/>
      <c r="F348" s="143"/>
      <c r="G348" s="143"/>
      <c r="H348" s="143"/>
      <c r="I348" s="143"/>
      <c r="J348" s="143"/>
      <c r="K348" s="143"/>
      <c r="L348" s="143"/>
      <c r="M348" s="143"/>
      <c r="N348" s="143"/>
      <c r="O348" s="143"/>
      <c r="P348" s="143"/>
      <c r="Q348" s="143"/>
      <c r="R348" s="143"/>
      <c r="S348" s="143"/>
      <c r="T348" s="143"/>
      <c r="U348" s="143"/>
      <c r="V348" s="143"/>
      <c r="W348" s="143"/>
      <c r="X348" s="143"/>
      <c r="Y348" s="143"/>
      <c r="Z348" s="143"/>
      <c r="AA348" s="143"/>
      <c r="AB348" s="79"/>
      <c r="AC348" s="79"/>
      <c r="AD348" s="79"/>
      <c r="AE348" s="79"/>
      <c r="AF348" s="79"/>
      <c r="AH348" s="79"/>
      <c r="AI348" s="79"/>
      <c r="AJ348" s="79"/>
      <c r="AK348" s="79"/>
      <c r="AL348" s="79"/>
    </row>
    <row r="349" spans="2:38" x14ac:dyDescent="0.6">
      <c r="B349" s="79" t="s">
        <v>2420</v>
      </c>
      <c r="C349" s="79"/>
      <c r="D349" s="143"/>
      <c r="E349" s="143"/>
      <c r="F349" s="143"/>
      <c r="G349" s="143"/>
      <c r="H349" s="143"/>
      <c r="I349" s="143"/>
      <c r="J349" s="143"/>
      <c r="K349" s="143"/>
      <c r="L349" s="143"/>
      <c r="M349" s="143"/>
      <c r="N349" s="143"/>
      <c r="O349" s="143"/>
      <c r="P349" s="143">
        <f>P352-P347</f>
        <v>62.699999999999989</v>
      </c>
      <c r="Q349" s="143"/>
      <c r="R349" s="143">
        <f>R352-R347</f>
        <v>69.099999999999966</v>
      </c>
      <c r="S349" s="143">
        <f>S352-S347</f>
        <v>48.699999999999989</v>
      </c>
      <c r="T349" s="143">
        <f>T352-T347</f>
        <v>58.900000000000006</v>
      </c>
      <c r="U349" s="143">
        <f>U352-U347</f>
        <v>79.5</v>
      </c>
      <c r="V349" s="143"/>
      <c r="W349" s="143">
        <f>W352-W347</f>
        <v>76.399999999999977</v>
      </c>
      <c r="X349" s="143">
        <f>X352-X347</f>
        <v>80.5</v>
      </c>
      <c r="Y349" s="143"/>
      <c r="Z349" s="143"/>
      <c r="AA349" s="143"/>
      <c r="AB349" s="79"/>
      <c r="AC349" s="79"/>
      <c r="AD349" s="79"/>
      <c r="AE349" s="79"/>
      <c r="AF349" s="79"/>
      <c r="AH349" s="79"/>
      <c r="AI349" s="79"/>
      <c r="AJ349" s="79"/>
      <c r="AK349" s="79"/>
      <c r="AL349" s="79"/>
    </row>
    <row r="350" spans="2:38" x14ac:dyDescent="0.6">
      <c r="B350" s="79" t="s">
        <v>2419</v>
      </c>
      <c r="C350" s="79"/>
      <c r="D350" s="143"/>
      <c r="E350" s="143"/>
      <c r="F350" s="143"/>
      <c r="G350" s="143"/>
      <c r="H350" s="143"/>
      <c r="I350" s="143"/>
      <c r="J350" s="143"/>
      <c r="K350" s="143"/>
      <c r="L350" s="143"/>
      <c r="M350" s="143"/>
      <c r="N350" s="143"/>
      <c r="O350" s="143"/>
      <c r="P350" s="143">
        <f t="shared" ref="P350:T350" si="114">P349/(P342*1000)*10000</f>
        <v>72.068965517241352</v>
      </c>
      <c r="Q350" s="143"/>
      <c r="R350" s="143">
        <f t="shared" si="114"/>
        <v>84.26829268292677</v>
      </c>
      <c r="S350" s="143">
        <f t="shared" si="114"/>
        <v>52.934782608695635</v>
      </c>
      <c r="T350" s="143">
        <f t="shared" si="114"/>
        <v>57.184466019417485</v>
      </c>
      <c r="U350" s="143">
        <f>U349/(U342*1000)*10000</f>
        <v>66.806722689075627</v>
      </c>
      <c r="V350" s="143"/>
      <c r="W350" s="143">
        <f>W349/(W342*1000)*10000</f>
        <v>68.214285714285694</v>
      </c>
      <c r="X350" s="143">
        <f>X349/(X342*1000)*10000</f>
        <v>72.522522522522536</v>
      </c>
      <c r="Y350" s="143"/>
      <c r="Z350" s="143"/>
      <c r="AA350" s="143"/>
      <c r="AB350" s="79"/>
      <c r="AC350" s="79"/>
      <c r="AD350" s="79"/>
      <c r="AE350" s="79"/>
      <c r="AF350" s="79"/>
      <c r="AH350" s="79"/>
      <c r="AI350" s="79"/>
      <c r="AJ350" s="79"/>
      <c r="AK350" s="79"/>
      <c r="AL350" s="79"/>
    </row>
    <row r="351" spans="2:38" x14ac:dyDescent="0.6">
      <c r="B351" s="81"/>
      <c r="C351" s="81"/>
      <c r="D351" s="1311"/>
      <c r="E351" s="1311"/>
      <c r="F351" s="1311"/>
      <c r="G351" s="1311"/>
      <c r="H351" s="1311"/>
      <c r="I351" s="1311"/>
      <c r="J351" s="1311"/>
      <c r="K351" s="1311"/>
      <c r="L351" s="1311"/>
      <c r="M351" s="1311"/>
      <c r="N351" s="1311"/>
      <c r="O351" s="1311"/>
      <c r="P351" s="1311"/>
      <c r="Q351" s="1311"/>
      <c r="R351" s="1311"/>
      <c r="S351" s="1311"/>
      <c r="T351" s="1311"/>
      <c r="U351" s="1311"/>
      <c r="V351" s="1311"/>
      <c r="W351" s="1311"/>
      <c r="X351" s="1311"/>
      <c r="Y351" s="143"/>
      <c r="Z351" s="143"/>
      <c r="AA351" s="143"/>
      <c r="AB351" s="79"/>
      <c r="AC351" s="79"/>
      <c r="AD351" s="79"/>
      <c r="AE351" s="79"/>
      <c r="AF351" s="79"/>
      <c r="AH351" s="79"/>
      <c r="AI351" s="79"/>
      <c r="AJ351" s="79"/>
      <c r="AK351" s="79"/>
      <c r="AL351" s="79"/>
    </row>
    <row r="352" spans="2:38" x14ac:dyDescent="0.6">
      <c r="B352" s="79" t="s">
        <v>2418</v>
      </c>
      <c r="C352" s="79"/>
      <c r="D352" s="143"/>
      <c r="E352" s="143"/>
      <c r="F352" s="143"/>
      <c r="G352" s="143"/>
      <c r="H352" s="143"/>
      <c r="I352" s="143"/>
      <c r="J352" s="143"/>
      <c r="K352" s="143"/>
      <c r="L352" s="143"/>
      <c r="M352" s="143"/>
      <c r="N352" s="143"/>
      <c r="O352" s="143"/>
      <c r="P352" s="143">
        <f>P15</f>
        <v>259</v>
      </c>
      <c r="Q352" s="143"/>
      <c r="R352" s="143">
        <f t="shared" ref="R352:X352" si="115">R15</f>
        <v>265.39999999999998</v>
      </c>
      <c r="S352" s="143">
        <f t="shared" si="115"/>
        <v>271</v>
      </c>
      <c r="T352" s="143">
        <f t="shared" si="115"/>
        <v>302</v>
      </c>
      <c r="U352" s="143">
        <f t="shared" si="115"/>
        <v>348.6</v>
      </c>
      <c r="V352" s="143"/>
      <c r="W352" s="143">
        <f t="shared" si="115"/>
        <v>339</v>
      </c>
      <c r="X352" s="143">
        <f t="shared" si="115"/>
        <v>344.4</v>
      </c>
      <c r="Y352" s="143"/>
      <c r="Z352" s="143"/>
      <c r="AA352" s="143"/>
      <c r="AB352" s="79"/>
      <c r="AC352" s="79"/>
      <c r="AD352" s="79"/>
      <c r="AE352" s="79"/>
      <c r="AF352" s="79"/>
      <c r="AH352" s="79"/>
      <c r="AI352" s="79"/>
      <c r="AJ352" s="79"/>
      <c r="AK352" s="79"/>
      <c r="AL352" s="79"/>
    </row>
    <row r="353" spans="2:38" x14ac:dyDescent="0.6">
      <c r="B353" s="79"/>
      <c r="C353" s="79"/>
      <c r="D353" s="143"/>
      <c r="E353" s="143"/>
      <c r="F353" s="143"/>
      <c r="G353" s="143"/>
      <c r="H353" s="143"/>
      <c r="I353" s="143"/>
      <c r="J353" s="143"/>
      <c r="K353" s="143"/>
      <c r="L353" s="143"/>
      <c r="M353" s="143"/>
      <c r="N353" s="143"/>
      <c r="O353" s="143"/>
      <c r="P353" s="143"/>
      <c r="Q353" s="143"/>
      <c r="R353" s="143"/>
      <c r="S353" s="143"/>
      <c r="T353" s="143"/>
      <c r="U353" s="143"/>
      <c r="V353" s="143"/>
      <c r="W353" s="143"/>
      <c r="X353" s="143"/>
      <c r="Y353" s="143"/>
      <c r="Z353" s="143"/>
      <c r="AA353" s="143"/>
      <c r="AB353" s="79"/>
      <c r="AC353" s="79"/>
      <c r="AD353" s="79"/>
      <c r="AE353" s="79"/>
      <c r="AF353" s="79"/>
      <c r="AH353" s="79"/>
      <c r="AI353" s="79"/>
      <c r="AJ353" s="79"/>
      <c r="AK353" s="79"/>
      <c r="AL353" s="79"/>
    </row>
    <row r="354" spans="2:38" x14ac:dyDescent="0.6">
      <c r="B354" s="17" t="s">
        <v>90</v>
      </c>
      <c r="C354" s="17"/>
      <c r="D354" s="143"/>
      <c r="E354" s="143"/>
      <c r="F354" s="143"/>
      <c r="G354" s="143"/>
      <c r="H354" s="143"/>
      <c r="I354" s="143"/>
      <c r="J354" s="143"/>
      <c r="K354" s="143"/>
      <c r="L354" s="143"/>
      <c r="M354" s="143"/>
      <c r="N354" s="143"/>
      <c r="O354" s="143"/>
      <c r="P354" s="143"/>
      <c r="Q354" s="143"/>
      <c r="R354" s="143"/>
      <c r="S354" s="143"/>
      <c r="T354" s="143"/>
      <c r="U354" s="143"/>
      <c r="V354" s="143"/>
      <c r="W354" s="143"/>
      <c r="X354" s="143"/>
      <c r="Y354" s="143"/>
      <c r="Z354" s="143"/>
      <c r="AA354" s="143"/>
      <c r="AB354" s="79"/>
      <c r="AC354" s="79"/>
      <c r="AD354" s="79"/>
      <c r="AE354" s="79"/>
      <c r="AF354" s="79"/>
      <c r="AH354" s="79"/>
      <c r="AI354" s="79"/>
      <c r="AJ354" s="79"/>
      <c r="AK354" s="79"/>
      <c r="AL354" s="79"/>
    </row>
    <row r="355" spans="2:38" x14ac:dyDescent="0.6">
      <c r="B355" s="183" t="s">
        <v>304</v>
      </c>
      <c r="C355" s="183"/>
      <c r="D355" s="397"/>
      <c r="E355" s="397"/>
      <c r="F355" s="397"/>
      <c r="G355" s="397">
        <f>-G38/G236</f>
        <v>1.7870771033922921E-2</v>
      </c>
      <c r="H355" s="397">
        <f>-H38/H236</f>
        <v>1.9270270270270271E-2</v>
      </c>
      <c r="I355" s="397">
        <f>-I38/I236</f>
        <v>1.9690476190476192E-2</v>
      </c>
      <c r="J355" s="397">
        <f>-J38/J236</f>
        <v>2.6162910469284331E-2</v>
      </c>
      <c r="K355" s="397">
        <f>-K38/K236</f>
        <v>3.3409814720909883E-2</v>
      </c>
      <c r="L355" s="143"/>
      <c r="M355" s="397">
        <f>-M38/M236</f>
        <v>3.4897101632704722E-2</v>
      </c>
      <c r="N355" s="397">
        <f>-N38/N236</f>
        <v>4.1511134199287099E-2</v>
      </c>
      <c r="O355" s="397">
        <f>-O38/O236</f>
        <v>4.3708262537782039E-2</v>
      </c>
      <c r="P355" s="397">
        <f>-P38/P236</f>
        <v>4.1912578235412896E-2</v>
      </c>
      <c r="Q355" s="397"/>
      <c r="R355" s="397">
        <f>-R38/R236</f>
        <v>4.2404723564143855E-2</v>
      </c>
      <c r="S355" s="397">
        <f>-S38/S236</f>
        <v>4.6049450120895404E-2</v>
      </c>
      <c r="T355" s="397">
        <f>-T38/T236</f>
        <v>4.7552314751122413E-2</v>
      </c>
      <c r="U355" s="397">
        <f>-U38/U236</f>
        <v>3.7973872950819672E-2</v>
      </c>
      <c r="V355" s="143"/>
      <c r="W355" s="397">
        <f>-W38/W236</f>
        <v>4.9877856272545568E-2</v>
      </c>
      <c r="X355" s="397">
        <f>-X38/X236</f>
        <v>4.7396320548799498E-2</v>
      </c>
      <c r="Y355" s="397">
        <f>-Y38/Y236</f>
        <v>4.9579861095464077E-2</v>
      </c>
      <c r="Z355" s="397">
        <f>-Z38/Z236</f>
        <v>4.8842371495244459E-2</v>
      </c>
      <c r="AA355" s="143"/>
      <c r="AB355" s="79"/>
      <c r="AC355" s="79"/>
      <c r="AD355" s="79"/>
      <c r="AE355" s="79"/>
      <c r="AF355" s="79"/>
      <c r="AH355" s="79"/>
      <c r="AI355" s="79"/>
      <c r="AJ355" s="79"/>
      <c r="AK355" s="79"/>
      <c r="AL355" s="79"/>
    </row>
    <row r="356" spans="2:38" x14ac:dyDescent="0.6">
      <c r="B356" s="346" t="s">
        <v>576</v>
      </c>
      <c r="C356" s="346"/>
      <c r="G356" s="397">
        <f>-G38/AVERAGE(F236:G236)</f>
        <v>1.7870771033922921E-2</v>
      </c>
      <c r="H356" s="397">
        <f>-H38/AVERAGE(G236:H236)</f>
        <v>2.0936026607239006E-2</v>
      </c>
      <c r="I356" s="397">
        <f>-I38/AVERAGE(H236:I236)</f>
        <v>2.0936708860759493E-2</v>
      </c>
      <c r="J356" s="397">
        <f>-J38/AVERAGE(I236:J236)</f>
        <v>2.805327914117205E-2</v>
      </c>
      <c r="K356" s="397">
        <f>-K38/AVERAGE(J236:K236)</f>
        <v>3.6868519443631342E-2</v>
      </c>
      <c r="M356" s="397">
        <f>-M38/AVERAGE(L236:M236)</f>
        <v>3.4897101632704722E-2</v>
      </c>
      <c r="N356" s="397">
        <f>-N38/AVERAGE(M236:N236)</f>
        <v>4.2165906395953079E-2</v>
      </c>
      <c r="O356" s="397">
        <f>-O38/AVERAGE(N236:O236)</f>
        <v>4.4848407902420853E-2</v>
      </c>
      <c r="P356" s="397">
        <f>-P38/AVERAGE(O236:P236)</f>
        <v>4.4892124167022728E-2</v>
      </c>
      <c r="Q356" s="397"/>
      <c r="R356" s="397">
        <f>-R38/AVERAGE(Q236:R236)</f>
        <v>4.2404723564143855E-2</v>
      </c>
      <c r="S356" s="397">
        <f>-S38/AVERAGE(R236:S236)</f>
        <v>4.9202050085420224E-2</v>
      </c>
      <c r="T356" s="397">
        <f>-T38/AVERAGE(S236:T236)</f>
        <v>4.8218755342418915E-2</v>
      </c>
      <c r="U356" s="397">
        <f>-U38/AVERAGE(T236:U236)</f>
        <v>4.1178442300773596E-2</v>
      </c>
      <c r="W356" s="397">
        <f>-W38/AVERAGE(V236:W236)</f>
        <v>4.9877856272545568E-2</v>
      </c>
      <c r="X356" s="397">
        <f>-X38/AVERAGE(W236:X236)</f>
        <v>4.6489293699171451E-2</v>
      </c>
      <c r="Y356" s="397">
        <f>-Y38/AVERAGE(X236:Y236)</f>
        <v>5.1934151575153922E-2</v>
      </c>
      <c r="Z356" s="397">
        <f>-Z38/AVERAGE(Y236:Z236)</f>
        <v>5.0781418694323982E-2</v>
      </c>
    </row>
    <row r="357" spans="2:38" x14ac:dyDescent="0.6">
      <c r="B357" t="s">
        <v>797</v>
      </c>
      <c r="G357" s="110">
        <f>G356*4</f>
        <v>7.1483084135691682E-2</v>
      </c>
      <c r="H357" s="110">
        <f>H356*4</f>
        <v>8.3744106428956022E-2</v>
      </c>
      <c r="I357" s="110">
        <f>I356*4</f>
        <v>8.3746835443037973E-2</v>
      </c>
      <c r="J357" s="110">
        <f>J356*4</f>
        <v>0.1122131165646882</v>
      </c>
      <c r="K357" s="110">
        <f>K356*4</f>
        <v>0.14747407777452537</v>
      </c>
      <c r="M357" s="110">
        <f>M356*4</f>
        <v>0.13958840653081889</v>
      </c>
      <c r="N357" s="110">
        <f>N356*4</f>
        <v>0.16866362558381232</v>
      </c>
      <c r="O357" s="110">
        <f>O356*4</f>
        <v>0.17939363160968341</v>
      </c>
      <c r="P357" s="110">
        <f>P356*4</f>
        <v>0.17956849666809091</v>
      </c>
      <c r="Q357" s="110"/>
      <c r="R357" s="110">
        <f>R356*4</f>
        <v>0.16961889425657542</v>
      </c>
      <c r="S357" s="110">
        <f>S356*4</f>
        <v>0.19680820034168089</v>
      </c>
      <c r="T357" s="110">
        <f>T356*4</f>
        <v>0.19287502136967566</v>
      </c>
      <c r="U357" s="110">
        <f>U356*4</f>
        <v>0.16471376920309438</v>
      </c>
      <c r="W357" s="110">
        <f>W356*4</f>
        <v>0.19951142509018227</v>
      </c>
      <c r="X357" s="110">
        <f>X356*4</f>
        <v>0.1859571747966858</v>
      </c>
      <c r="Y357" s="110">
        <f>Y356*4</f>
        <v>0.20773660630061569</v>
      </c>
      <c r="Z357" s="110">
        <f>Z356*4</f>
        <v>0.20312567477729593</v>
      </c>
    </row>
    <row r="361" spans="2:38" x14ac:dyDescent="0.6">
      <c r="B361" s="451" t="s">
        <v>65</v>
      </c>
      <c r="C361" s="451"/>
      <c r="D361" s="492">
        <v>0.02</v>
      </c>
      <c r="E361" s="492">
        <v>0.02</v>
      </c>
      <c r="F361" s="492">
        <v>0.02</v>
      </c>
      <c r="G361" s="492">
        <v>0.02</v>
      </c>
      <c r="H361" s="492">
        <v>2.1299999999999999E-2</v>
      </c>
      <c r="I361" s="492">
        <v>3.3799999999999997E-2</v>
      </c>
      <c r="J361" s="492">
        <v>5.2499999999999998E-2</v>
      </c>
      <c r="K361" s="492">
        <v>8.0799999999999997E-2</v>
      </c>
      <c r="L361" s="59"/>
      <c r="M361" s="492">
        <v>0.10916666666666668</v>
      </c>
      <c r="N361" s="492">
        <v>0.124</v>
      </c>
      <c r="O361" s="492">
        <v>0.13583333333333333</v>
      </c>
      <c r="P361" s="492">
        <v>0.13750000000000001</v>
      </c>
      <c r="Q361" s="493"/>
      <c r="R361" s="492">
        <v>0.13750000000000001</v>
      </c>
      <c r="S361" s="492">
        <v>0.13750000000000001</v>
      </c>
      <c r="T361" s="492">
        <v>0.13250000000000001</v>
      </c>
      <c r="U361" s="492">
        <v>0.125</v>
      </c>
      <c r="V361" s="951">
        <f>AVERAGE(R361:U361)</f>
        <v>0.13312499999999999</v>
      </c>
      <c r="W361" s="492">
        <v>0.1108</v>
      </c>
      <c r="X361" s="492">
        <v>0.105</v>
      </c>
      <c r="Y361" s="1240">
        <v>0.105</v>
      </c>
      <c r="Z361" s="1240">
        <v>0.105</v>
      </c>
      <c r="AA361" s="951">
        <f>AVERAGE(W361:Z361)</f>
        <v>0.10644999999999999</v>
      </c>
    </row>
    <row r="364" spans="2:38" x14ac:dyDescent="0.6">
      <c r="O364" s="335"/>
      <c r="Q364" s="110"/>
      <c r="R364" s="110"/>
      <c r="S364" s="110"/>
      <c r="T364" s="110"/>
      <c r="U364" s="110"/>
      <c r="W364" s="110"/>
      <c r="X364" s="110"/>
    </row>
    <row r="365" spans="2:38" x14ac:dyDescent="0.6">
      <c r="B365" s="94" t="s">
        <v>88</v>
      </c>
      <c r="C365" s="94"/>
      <c r="H365" s="43">
        <f>H366+H378+H379+H380+H381</f>
        <v>117.718</v>
      </c>
      <c r="I365" s="43">
        <f>I366+I378+I379+I380+I381</f>
        <v>151.19199999999998</v>
      </c>
      <c r="J365" s="43">
        <f>J366+J378+J379+J380+J381</f>
        <v>185.94899999999998</v>
      </c>
      <c r="K365" s="43">
        <f>K366+K378+K379+K380+K381</f>
        <v>207.59800000000004</v>
      </c>
      <c r="L365" s="43">
        <f>'Revenue and Expenses breakdown'!E31</f>
        <v>651.27700000000004</v>
      </c>
      <c r="M365" s="43">
        <f>M366+M378+M379+M380+M381</f>
        <v>257.82399999999996</v>
      </c>
      <c r="N365" s="43">
        <f>N366+N378+N379+N380+N381</f>
        <v>304.548</v>
      </c>
      <c r="O365" s="43">
        <f>O366+O378+O379+O380+O381</f>
        <v>318.94999999999993</v>
      </c>
      <c r="P365" s="43">
        <f>P366+P378+P379+P380+P381</f>
        <v>353.678</v>
      </c>
      <c r="Q365" s="43">
        <f>Q14</f>
        <v>0</v>
      </c>
      <c r="R365" s="43">
        <f>R366+R378+R379+R380+R381</f>
        <v>363.4</v>
      </c>
      <c r="S365" s="43">
        <f>S366+S378+S379+S380+S381</f>
        <v>271</v>
      </c>
      <c r="T365" s="43">
        <f>T366+T378+T379+T380+T381</f>
        <v>302</v>
      </c>
      <c r="U365" s="43">
        <f>U366+U378+U379+U380+U381</f>
        <v>348.6</v>
      </c>
      <c r="V365" s="43">
        <f t="shared" ref="V365:AA365" si="116">V14</f>
        <v>1589</v>
      </c>
      <c r="W365" s="43">
        <f t="shared" si="116"/>
        <v>456</v>
      </c>
      <c r="X365" s="43">
        <f t="shared" si="116"/>
        <v>465.4</v>
      </c>
      <c r="Y365" s="43">
        <f t="shared" si="116"/>
        <v>500</v>
      </c>
      <c r="Z365" s="43">
        <f t="shared" si="116"/>
        <v>433.05970355140846</v>
      </c>
      <c r="AA365" s="43">
        <f t="shared" si="116"/>
        <v>1854.4597035514084</v>
      </c>
    </row>
    <row r="366" spans="2:38" x14ac:dyDescent="0.6">
      <c r="B366" s="167" t="s">
        <v>162</v>
      </c>
      <c r="C366" s="167"/>
      <c r="H366" s="511">
        <v>83.617000000000004</v>
      </c>
      <c r="I366" s="511">
        <v>107.354</v>
      </c>
      <c r="J366" s="511">
        <v>130.46899999999999</v>
      </c>
      <c r="K366" s="43">
        <f>L366-J366-I366-H366</f>
        <v>150.065</v>
      </c>
      <c r="L366" s="511">
        <f>'Revenue and Expenses breakdown'!E33</f>
        <v>471.505</v>
      </c>
      <c r="M366" s="511">
        <v>189.506</v>
      </c>
      <c r="N366" s="511">
        <v>224.43700000000001</v>
      </c>
      <c r="O366" s="511">
        <v>244</v>
      </c>
      <c r="P366" s="511">
        <f>'Revenue and Expenses breakdown'!F33-M366-N366-O366</f>
        <v>259.05700000000002</v>
      </c>
      <c r="Q366" s="43">
        <f>SUM(M366:P366)</f>
        <v>917</v>
      </c>
      <c r="R366" s="43">
        <f>R15</f>
        <v>265.39999999999998</v>
      </c>
      <c r="S366" s="43">
        <f>S15</f>
        <v>271</v>
      </c>
      <c r="T366" s="43">
        <f>T15</f>
        <v>302</v>
      </c>
      <c r="U366" s="43">
        <f>U15</f>
        <v>348.6</v>
      </c>
      <c r="V366" s="43">
        <f>SUM(R366:U366)</f>
        <v>1187</v>
      </c>
      <c r="W366" s="43">
        <f>W365-W378-W379-W380-W381-W382</f>
        <v>338.7</v>
      </c>
      <c r="X366" s="43">
        <f>X365-X378-X379-X380-X381-X382</f>
        <v>345.3</v>
      </c>
      <c r="Y366" s="43">
        <f>Y365-Y378-Y379-Y380-Y381-Y382</f>
        <v>364</v>
      </c>
      <c r="Z366" s="43">
        <f>Z365-Z378-Z379-Z380-Z381-Z382</f>
        <v>285.05970355140846</v>
      </c>
      <c r="AA366" s="43">
        <f>SUM(V366:V366)</f>
        <v>1187</v>
      </c>
    </row>
    <row r="367" spans="2:38" x14ac:dyDescent="0.6">
      <c r="B367" s="200" t="s">
        <v>978</v>
      </c>
      <c r="C367" s="200"/>
      <c r="G367" s="512"/>
      <c r="H367" s="512">
        <f t="shared" ref="H367:P367" si="117">H366/(H340*1000)</f>
        <v>1.1148933333333335E-2</v>
      </c>
      <c r="I367" s="512">
        <f t="shared" si="117"/>
        <v>1.0843838383838384E-2</v>
      </c>
      <c r="J367" s="512">
        <f t="shared" si="117"/>
        <v>1.0782561983471073E-2</v>
      </c>
      <c r="K367" s="512">
        <f t="shared" si="117"/>
        <v>1.0494055944055943E-2</v>
      </c>
      <c r="L367" s="512">
        <f t="shared" si="117"/>
        <v>1.1073111427724915E-2</v>
      </c>
      <c r="M367" s="512">
        <f t="shared" si="117"/>
        <v>1.1918616352201258E-2</v>
      </c>
      <c r="N367" s="512">
        <f t="shared" si="117"/>
        <v>1.122185E-2</v>
      </c>
      <c r="O367" s="512">
        <f t="shared" si="117"/>
        <v>1.1509433962264152E-2</v>
      </c>
      <c r="P367" s="512">
        <f t="shared" si="117"/>
        <v>1.0884747899159665E-2</v>
      </c>
      <c r="V367" s="512">
        <f>V366/(V340*1000)</f>
        <v>1.0684068406840684E-2</v>
      </c>
      <c r="W367" s="43">
        <f>W366/(W340*1000)</f>
        <v>1.0786624203821656E-2</v>
      </c>
      <c r="Y367" s="512">
        <f>Y366/(Y340*1000)</f>
        <v>9.1000000000000004E-3</v>
      </c>
      <c r="Z367" s="512">
        <f>Z366/(Z340*1000)</f>
        <v>5.9550782716405537E-3</v>
      </c>
      <c r="AA367" s="512">
        <f>AA366/(AA340*1000)</f>
        <v>7.8782311561112553E-3</v>
      </c>
      <c r="AG367"/>
    </row>
    <row r="368" spans="2:38" x14ac:dyDescent="0.6">
      <c r="B368" s="200"/>
      <c r="C368" s="200"/>
      <c r="I368" s="512"/>
      <c r="J368" s="512"/>
      <c r="K368" s="512"/>
      <c r="L368" s="512"/>
      <c r="M368" s="512"/>
      <c r="N368" s="512"/>
      <c r="O368" s="512"/>
      <c r="P368" s="512"/>
      <c r="Y368" s="512"/>
      <c r="Z368" s="512"/>
      <c r="AG368"/>
    </row>
    <row r="369" spans="2:33" x14ac:dyDescent="0.6">
      <c r="B369" s="167" t="s">
        <v>288</v>
      </c>
      <c r="C369" s="167"/>
      <c r="I369" s="514">
        <v>0.6</v>
      </c>
      <c r="J369" s="514">
        <v>0.6</v>
      </c>
      <c r="K369" s="514">
        <v>0.6</v>
      </c>
      <c r="L369" s="514">
        <v>0.6</v>
      </c>
      <c r="M369" s="514">
        <v>0.6</v>
      </c>
      <c r="N369" s="514">
        <v>0.6</v>
      </c>
      <c r="O369" s="514">
        <v>0.6</v>
      </c>
      <c r="P369" s="514">
        <v>0.6</v>
      </c>
      <c r="R369" s="514">
        <v>0.6</v>
      </c>
      <c r="S369" s="514"/>
      <c r="T369" s="514"/>
      <c r="U369" s="514"/>
      <c r="V369" s="514">
        <v>0.6</v>
      </c>
      <c r="W369" s="514">
        <v>0.6</v>
      </c>
      <c r="X369" s="514">
        <v>0.6</v>
      </c>
      <c r="Y369" s="514">
        <v>0.6</v>
      </c>
      <c r="Z369" s="514">
        <v>0.6</v>
      </c>
      <c r="AA369" s="514">
        <v>0.6</v>
      </c>
      <c r="AG369"/>
    </row>
    <row r="370" spans="2:33" x14ac:dyDescent="0.6">
      <c r="B370" s="167" t="s">
        <v>289</v>
      </c>
      <c r="C370" s="167"/>
      <c r="I370" s="513">
        <f t="shared" ref="I370:P370" si="118">1-I369</f>
        <v>0.4</v>
      </c>
      <c r="J370" s="513">
        <f t="shared" si="118"/>
        <v>0.4</v>
      </c>
      <c r="K370" s="513">
        <f t="shared" si="118"/>
        <v>0.4</v>
      </c>
      <c r="L370" s="513">
        <f t="shared" si="118"/>
        <v>0.4</v>
      </c>
      <c r="M370" s="513">
        <f t="shared" si="118"/>
        <v>0.4</v>
      </c>
      <c r="N370" s="513">
        <f t="shared" si="118"/>
        <v>0.4</v>
      </c>
      <c r="O370" s="513">
        <f t="shared" si="118"/>
        <v>0.4</v>
      </c>
      <c r="P370" s="513">
        <f t="shared" si="118"/>
        <v>0.4</v>
      </c>
      <c r="R370" s="513">
        <f>1-R369</f>
        <v>0.4</v>
      </c>
      <c r="S370" s="513"/>
      <c r="T370" s="513"/>
      <c r="U370" s="513"/>
      <c r="V370" s="513">
        <f t="shared" ref="V370:AA370" si="119">1-V369</f>
        <v>0.4</v>
      </c>
      <c r="W370" s="513">
        <f t="shared" si="119"/>
        <v>0.4</v>
      </c>
      <c r="X370" s="513">
        <f t="shared" ref="X370" si="120">1-X369</f>
        <v>0.4</v>
      </c>
      <c r="Y370" s="513">
        <f t="shared" si="119"/>
        <v>0.4</v>
      </c>
      <c r="Z370" s="513">
        <f t="shared" si="119"/>
        <v>0.4</v>
      </c>
      <c r="AA370" s="513">
        <f t="shared" si="119"/>
        <v>0.4</v>
      </c>
      <c r="AG370"/>
    </row>
    <row r="371" spans="2:33" x14ac:dyDescent="0.6">
      <c r="B371" s="167"/>
      <c r="C371" s="167"/>
      <c r="I371" s="513"/>
      <c r="J371" s="513"/>
      <c r="K371" s="513"/>
      <c r="L371" s="513"/>
      <c r="M371" s="513"/>
      <c r="N371" s="513"/>
      <c r="O371" s="513"/>
      <c r="P371" s="513"/>
      <c r="Y371" s="513"/>
      <c r="Z371" s="513"/>
      <c r="AG371"/>
    </row>
    <row r="372" spans="2:33" x14ac:dyDescent="0.6">
      <c r="B372" s="167" t="s">
        <v>979</v>
      </c>
      <c r="C372" s="167"/>
      <c r="I372" s="515">
        <f t="shared" ref="I372:M373" si="121">I369*I$340</f>
        <v>5.94</v>
      </c>
      <c r="J372" s="515">
        <f t="shared" si="121"/>
        <v>7.26</v>
      </c>
      <c r="K372" s="515">
        <f t="shared" si="121"/>
        <v>8.58</v>
      </c>
      <c r="L372" s="515">
        <f t="shared" si="121"/>
        <v>25.548645640074206</v>
      </c>
      <c r="M372" s="515">
        <f t="shared" si="121"/>
        <v>9.5399999999999991</v>
      </c>
      <c r="N372" s="515">
        <f t="shared" ref="N372:P373" si="122">N369*N$340</f>
        <v>12</v>
      </c>
      <c r="O372" s="515">
        <f t="shared" si="122"/>
        <v>12.719999999999999</v>
      </c>
      <c r="P372" s="515">
        <f t="shared" si="122"/>
        <v>14.28</v>
      </c>
      <c r="Q372" s="43">
        <f>Drivers!G194</f>
        <v>20.25</v>
      </c>
      <c r="R372" s="515">
        <f>R369*R$340</f>
        <v>13.98</v>
      </c>
      <c r="S372" s="515"/>
      <c r="T372" s="515"/>
      <c r="U372" s="515"/>
      <c r="V372" s="43">
        <f>Drivers!H194</f>
        <v>27.774999999999999</v>
      </c>
      <c r="W372" s="515">
        <f t="shared" ref="W372:Y373" si="123">W369*W$340</f>
        <v>18.84</v>
      </c>
      <c r="X372" s="515">
        <f t="shared" ref="X372" si="124">X369*X$340</f>
        <v>18.84</v>
      </c>
      <c r="Y372" s="515">
        <f t="shared" si="123"/>
        <v>24</v>
      </c>
      <c r="Z372" s="515">
        <f>AA372-Y372-X372-W372</f>
        <v>-24.012915330897997</v>
      </c>
      <c r="AA372" s="43">
        <f>Drivers!I194</f>
        <v>37.667084669102003</v>
      </c>
      <c r="AG372"/>
    </row>
    <row r="373" spans="2:33" x14ac:dyDescent="0.6">
      <c r="B373" s="167" t="s">
        <v>980</v>
      </c>
      <c r="C373" s="167"/>
      <c r="I373" s="515">
        <f t="shared" si="121"/>
        <v>3.9600000000000004</v>
      </c>
      <c r="J373" s="515">
        <f t="shared" si="121"/>
        <v>4.84</v>
      </c>
      <c r="K373" s="515">
        <f t="shared" si="121"/>
        <v>5.7200000000000006</v>
      </c>
      <c r="L373" s="515">
        <f t="shared" si="121"/>
        <v>17.032430426716139</v>
      </c>
      <c r="M373" s="515">
        <f t="shared" si="121"/>
        <v>6.36</v>
      </c>
      <c r="N373" s="515">
        <f t="shared" si="122"/>
        <v>8</v>
      </c>
      <c r="O373" s="515">
        <f t="shared" si="122"/>
        <v>8.48</v>
      </c>
      <c r="P373" s="515">
        <f t="shared" si="122"/>
        <v>9.5200000000000014</v>
      </c>
      <c r="Q373" s="43">
        <f>Drivers!G195</f>
        <v>32.4</v>
      </c>
      <c r="R373" s="515">
        <f>R370*R$340</f>
        <v>9.32</v>
      </c>
      <c r="S373" s="515"/>
      <c r="T373" s="515"/>
      <c r="U373" s="515"/>
      <c r="V373" s="43">
        <f>Drivers!H195</f>
        <v>44.44</v>
      </c>
      <c r="W373" s="515">
        <f t="shared" si="123"/>
        <v>12.56</v>
      </c>
      <c r="X373" s="515">
        <f t="shared" ref="X373" si="125">X370*X$340</f>
        <v>12.56</v>
      </c>
      <c r="Y373" s="515">
        <f t="shared" si="123"/>
        <v>16</v>
      </c>
      <c r="Z373" s="515">
        <f>AA373-Y373-X373-W373</f>
        <v>19.147335470563206</v>
      </c>
      <c r="AA373" s="43">
        <f>Drivers!I195</f>
        <v>60.267335470563211</v>
      </c>
      <c r="AG373"/>
    </row>
    <row r="374" spans="2:33" x14ac:dyDescent="0.6">
      <c r="B374" s="167"/>
      <c r="C374" s="167"/>
      <c r="I374" s="515"/>
      <c r="J374" s="515"/>
      <c r="K374" s="515"/>
      <c r="L374" s="515"/>
      <c r="M374" s="515"/>
      <c r="N374" s="515"/>
      <c r="O374" s="515"/>
      <c r="P374" s="515"/>
      <c r="R374" s="515"/>
      <c r="S374" s="515"/>
      <c r="T374" s="515"/>
      <c r="U374" s="515"/>
      <c r="W374" s="515"/>
      <c r="X374" s="515"/>
      <c r="Y374" s="515"/>
      <c r="Z374" s="515"/>
      <c r="AG374"/>
    </row>
    <row r="375" spans="2:33" x14ac:dyDescent="0.6">
      <c r="B375" s="167" t="s">
        <v>981</v>
      </c>
      <c r="C375" s="167"/>
      <c r="I375" s="517">
        <f t="shared" ref="I375:P375" si="126">(I366-I376*I373*1000)/(I372*1000)</f>
        <v>1.4739730639730639E-2</v>
      </c>
      <c r="J375" s="517">
        <f t="shared" si="126"/>
        <v>1.4637603305785122E-2</v>
      </c>
      <c r="K375" s="517">
        <f t="shared" si="126"/>
        <v>1.4156759906759905E-2</v>
      </c>
      <c r="L375" s="517">
        <f t="shared" si="126"/>
        <v>1.5121852379541525E-2</v>
      </c>
      <c r="M375" s="517">
        <f t="shared" si="126"/>
        <v>1.6531027253668763E-2</v>
      </c>
      <c r="N375" s="517">
        <f t="shared" si="126"/>
        <v>1.5369750000000001E-2</v>
      </c>
      <c r="O375" s="517">
        <f t="shared" si="126"/>
        <v>1.5849056603773587E-2</v>
      </c>
      <c r="P375" s="517">
        <f t="shared" si="126"/>
        <v>1.4807913165266105E-2</v>
      </c>
      <c r="R375" s="517">
        <f>(R366-R376*R373*1000)/(R372*1000)</f>
        <v>1.5650929899856936E-2</v>
      </c>
      <c r="S375" s="517"/>
      <c r="T375" s="517"/>
      <c r="U375" s="517"/>
      <c r="V375" s="517">
        <f t="shared" ref="V375:AA375" si="127">(V366-V376*V373*1000)/(V372*1000)</f>
        <v>3.4736273627362736E-2</v>
      </c>
      <c r="W375" s="517">
        <f t="shared" si="127"/>
        <v>1.4644373673036093E-2</v>
      </c>
      <c r="X375" s="517">
        <f t="shared" ref="X375" si="128">(X366-X376*X373*1000)/(X372*1000)</f>
        <v>1.4994692144373673E-2</v>
      </c>
      <c r="Y375" s="517">
        <f t="shared" si="127"/>
        <v>1.1833333333333333E-2</v>
      </c>
      <c r="Z375" s="517">
        <f t="shared" si="127"/>
        <v>-7.8842166221685696E-3</v>
      </c>
      <c r="AA375" s="517">
        <f t="shared" si="127"/>
        <v>2.3512924624445021E-2</v>
      </c>
      <c r="AG375"/>
    </row>
    <row r="376" spans="2:33" x14ac:dyDescent="0.6">
      <c r="B376" s="167" t="s">
        <v>982</v>
      </c>
      <c r="C376" s="167"/>
      <c r="I376" s="516">
        <v>5.0000000000000001E-3</v>
      </c>
      <c r="J376" s="516">
        <v>5.0000000000000001E-3</v>
      </c>
      <c r="K376" s="516">
        <v>5.0000000000000001E-3</v>
      </c>
      <c r="L376" s="516">
        <v>5.0000000000000001E-3</v>
      </c>
      <c r="M376" s="516">
        <v>5.0000000000000001E-3</v>
      </c>
      <c r="N376" s="516">
        <v>5.0000000000000001E-3</v>
      </c>
      <c r="O376" s="516">
        <v>5.0000000000000001E-3</v>
      </c>
      <c r="P376" s="516">
        <v>5.0000000000000001E-3</v>
      </c>
      <c r="R376" s="516">
        <v>5.0000000000000001E-3</v>
      </c>
      <c r="S376" s="516"/>
      <c r="T376" s="516"/>
      <c r="U376" s="516"/>
      <c r="V376" s="516">
        <v>5.0000000000000001E-3</v>
      </c>
      <c r="W376" s="516">
        <v>5.0000000000000001E-3</v>
      </c>
      <c r="X376" s="516">
        <v>5.0000000000000001E-3</v>
      </c>
      <c r="Y376" s="516">
        <v>5.0000000000000001E-3</v>
      </c>
      <c r="Z376" s="516">
        <v>5.0000000000000001E-3</v>
      </c>
      <c r="AA376" s="516">
        <v>5.0000000000000001E-3</v>
      </c>
      <c r="AG376"/>
    </row>
    <row r="377" spans="2:33" x14ac:dyDescent="0.6">
      <c r="B377" s="167"/>
      <c r="C377" s="167"/>
      <c r="AG377"/>
    </row>
    <row r="378" spans="2:33" x14ac:dyDescent="0.6">
      <c r="B378" s="167" t="s">
        <v>976</v>
      </c>
      <c r="C378" s="167"/>
      <c r="H378" s="511">
        <v>7.7050000000000001</v>
      </c>
      <c r="I378" s="511">
        <v>10.597</v>
      </c>
      <c r="J378" s="511">
        <v>13.842000000000001</v>
      </c>
      <c r="K378" s="43">
        <f>L378-J378-I378-H378</f>
        <v>16.234000000000002</v>
      </c>
      <c r="L378" s="43">
        <f>'Revenue and Expenses breakdown'!E40</f>
        <v>48.378</v>
      </c>
      <c r="M378" s="511">
        <v>15.945</v>
      </c>
      <c r="N378" s="511">
        <v>19.244</v>
      </c>
      <c r="O378" s="511">
        <v>21</v>
      </c>
      <c r="P378" s="511">
        <f>'Revenue and Expenses breakdown'!F40-M378-N378-O378</f>
        <v>20.811</v>
      </c>
      <c r="R378" s="1062">
        <v>25</v>
      </c>
      <c r="S378" s="1062"/>
      <c r="T378" s="1062"/>
      <c r="U378" s="1062"/>
      <c r="W378" s="97">
        <f>15-X378</f>
        <v>8</v>
      </c>
      <c r="X378" s="97">
        <v>7</v>
      </c>
      <c r="Y378" s="114">
        <v>24</v>
      </c>
      <c r="Z378" s="114">
        <v>26</v>
      </c>
    </row>
    <row r="379" spans="2:33" x14ac:dyDescent="0.6">
      <c r="B379" s="167" t="s">
        <v>164</v>
      </c>
      <c r="C379" s="167"/>
      <c r="H379" s="511">
        <v>6.6050000000000004</v>
      </c>
      <c r="I379" s="511">
        <v>7.2759999999999998</v>
      </c>
      <c r="J379" s="511">
        <v>7.1219999999999999</v>
      </c>
      <c r="K379" s="43">
        <f>L379-J379-I379-H379</f>
        <v>5.8539999999999992</v>
      </c>
      <c r="L379" s="43">
        <f>'Revenue and Expenses breakdown'!E41</f>
        <v>26.856999999999999</v>
      </c>
      <c r="M379" s="511">
        <v>6.3319999999999999</v>
      </c>
      <c r="N379" s="511">
        <v>6.0220000000000002</v>
      </c>
      <c r="O379" s="511">
        <v>5.4</v>
      </c>
      <c r="P379" s="511">
        <f>'Revenue and Expenses breakdown'!F41-M379-N379-O379</f>
        <v>4.2459999999999987</v>
      </c>
      <c r="R379" s="1062">
        <v>6</v>
      </c>
      <c r="S379" s="1062"/>
      <c r="T379" s="1062"/>
      <c r="U379" s="1062"/>
      <c r="W379" s="97">
        <f>9-X379</f>
        <v>6</v>
      </c>
      <c r="X379" s="97">
        <v>3</v>
      </c>
      <c r="Y379" s="114">
        <v>7</v>
      </c>
      <c r="Z379" s="114">
        <v>7</v>
      </c>
    </row>
    <row r="380" spans="2:33" x14ac:dyDescent="0.6">
      <c r="B380" s="167" t="s">
        <v>165</v>
      </c>
      <c r="C380" s="167"/>
      <c r="H380" s="511">
        <v>9.6509999999999998</v>
      </c>
      <c r="I380" s="511">
        <v>11.376000000000001</v>
      </c>
      <c r="J380" s="511">
        <v>13.315</v>
      </c>
      <c r="K380" s="43">
        <f>L380-J380-I380-H380</f>
        <v>15.609000000000002</v>
      </c>
      <c r="L380" s="43">
        <f>'Revenue and Expenses breakdown'!E42</f>
        <v>49.951000000000001</v>
      </c>
      <c r="M380" s="511">
        <v>20.701000000000001</v>
      </c>
      <c r="N380" s="511">
        <v>25.515000000000001</v>
      </c>
      <c r="O380" s="511">
        <v>17.899999999999999</v>
      </c>
      <c r="P380" s="511">
        <f>'Revenue and Expenses breakdown'!F42-M380-N380-O380</f>
        <v>39.884000000000007</v>
      </c>
      <c r="R380" s="1062">
        <v>36</v>
      </c>
      <c r="S380" s="1062"/>
      <c r="T380" s="1062"/>
      <c r="U380" s="1062"/>
      <c r="W380" s="97">
        <f>132-X380</f>
        <v>62</v>
      </c>
      <c r="X380" s="97">
        <v>70</v>
      </c>
      <c r="Y380" s="114">
        <v>50</v>
      </c>
      <c r="Z380" s="114">
        <v>55</v>
      </c>
    </row>
    <row r="381" spans="2:33" x14ac:dyDescent="0.6">
      <c r="B381" s="167" t="s">
        <v>977</v>
      </c>
      <c r="C381" s="167"/>
      <c r="H381" s="511">
        <v>10.14</v>
      </c>
      <c r="I381" s="511">
        <v>14.588999999999999</v>
      </c>
      <c r="J381" s="511">
        <v>21.201000000000001</v>
      </c>
      <c r="K381" s="43">
        <f>L381-J381-I381-H381</f>
        <v>19.836000000000006</v>
      </c>
      <c r="L381" s="43">
        <f>'Revenue and Expenses breakdown'!E43</f>
        <v>65.766000000000005</v>
      </c>
      <c r="M381" s="511">
        <v>25.34</v>
      </c>
      <c r="N381" s="511">
        <v>29.33</v>
      </c>
      <c r="O381" s="511">
        <v>30.65</v>
      </c>
      <c r="P381" s="511">
        <f>'Revenue and Expenses breakdown'!F43-M381-N381-O381</f>
        <v>29.68</v>
      </c>
      <c r="R381" s="1062">
        <v>31</v>
      </c>
      <c r="S381" s="1062"/>
      <c r="T381" s="1062"/>
      <c r="U381" s="1062"/>
      <c r="W381" s="97">
        <f>68-X381</f>
        <v>34.299999999999997</v>
      </c>
      <c r="X381" s="97">
        <v>33.700000000000003</v>
      </c>
      <c r="Y381" s="114">
        <v>55</v>
      </c>
      <c r="Z381" s="114">
        <v>60</v>
      </c>
    </row>
    <row r="382" spans="2:33" x14ac:dyDescent="0.6">
      <c r="B382" s="167" t="s">
        <v>983</v>
      </c>
      <c r="C382" s="167"/>
      <c r="H382" s="511">
        <v>0</v>
      </c>
      <c r="I382" s="511">
        <v>0</v>
      </c>
      <c r="J382" s="511">
        <v>0</v>
      </c>
      <c r="K382" s="43">
        <v>0</v>
      </c>
      <c r="L382" s="43">
        <f>'Revenue and Expenses breakdown'!E44</f>
        <v>-11.18</v>
      </c>
      <c r="M382" s="511">
        <v>0</v>
      </c>
      <c r="N382" s="511">
        <v>0</v>
      </c>
      <c r="O382" s="511">
        <v>0</v>
      </c>
      <c r="P382" s="511">
        <f>'Revenue and Expenses breakdown'!F44-M382-N382-O382</f>
        <v>0</v>
      </c>
      <c r="R382" s="1062">
        <v>0</v>
      </c>
      <c r="S382" s="1062"/>
      <c r="T382" s="1062"/>
      <c r="U382" s="1062"/>
      <c r="W382" s="97">
        <f>13.4-X382</f>
        <v>7</v>
      </c>
      <c r="X382" s="97">
        <v>6.4</v>
      </c>
      <c r="Y382" s="114">
        <v>0</v>
      </c>
      <c r="Z382" s="114">
        <v>0</v>
      </c>
    </row>
    <row r="385" spans="2:30" x14ac:dyDescent="0.6">
      <c r="B385" s="20" t="s">
        <v>521</v>
      </c>
      <c r="C385" s="20"/>
    </row>
    <row r="387" spans="2:30" x14ac:dyDescent="0.6">
      <c r="B387" t="s">
        <v>2313</v>
      </c>
      <c r="C387" s="111">
        <v>4.4999999999999998E-2</v>
      </c>
      <c r="D387" s="110">
        <v>0.05</v>
      </c>
      <c r="E387" s="110">
        <v>6.2E-2</v>
      </c>
      <c r="F387" s="110">
        <v>5.1999999999999998E-2</v>
      </c>
      <c r="G387" s="110">
        <v>3.6999999999999998E-2</v>
      </c>
      <c r="H387" s="110">
        <v>0.03</v>
      </c>
      <c r="I387" s="110">
        <v>0.03</v>
      </c>
      <c r="J387" s="110">
        <v>3.2000000000000001E-2</v>
      </c>
      <c r="K387" s="110">
        <v>3.1E-2</v>
      </c>
      <c r="L387" s="110"/>
      <c r="M387" s="110">
        <v>3.5000000000000003E-2</v>
      </c>
      <c r="N387" s="110">
        <v>4.1000000000000002E-2</v>
      </c>
      <c r="O387" s="110">
        <v>4.7E-2</v>
      </c>
      <c r="P387" s="110">
        <v>5.1999999999999998E-2</v>
      </c>
      <c r="Q387" s="110"/>
      <c r="R387" s="110">
        <v>5.5E-2</v>
      </c>
      <c r="S387" s="110">
        <v>5.8999999999999997E-2</v>
      </c>
      <c r="T387" s="110">
        <v>6.0999999999999999E-2</v>
      </c>
      <c r="U387" s="110">
        <v>6.0999999999999999E-2</v>
      </c>
      <c r="V387" s="110"/>
      <c r="W387" s="110">
        <v>6.3E-2</v>
      </c>
      <c r="X387" s="110">
        <v>7.0000000000000007E-2</v>
      </c>
      <c r="Y387" s="110"/>
      <c r="Z387" s="110"/>
      <c r="AA387" s="110"/>
      <c r="AB387" s="111"/>
      <c r="AC387" s="117"/>
      <c r="AD387" s="117"/>
    </row>
    <row r="388" spans="2:30" x14ac:dyDescent="0.6">
      <c r="B388" s="167" t="s">
        <v>987</v>
      </c>
      <c r="C388" s="111">
        <v>4.4999999999999998E-2</v>
      </c>
      <c r="D388" s="110">
        <v>0.05</v>
      </c>
      <c r="E388" s="110">
        <v>6.2E-2</v>
      </c>
      <c r="F388" s="110">
        <v>5.2999999999999999E-2</v>
      </c>
      <c r="G388" s="110">
        <v>3.9E-2</v>
      </c>
      <c r="H388" s="110">
        <v>3.1E-2</v>
      </c>
      <c r="I388" s="110">
        <v>3.2000000000000001E-2</v>
      </c>
      <c r="J388" s="110">
        <v>3.5999999999999997E-2</v>
      </c>
      <c r="K388" s="110">
        <v>3.5999999999999997E-2</v>
      </c>
      <c r="L388" s="110"/>
      <c r="M388" s="110">
        <v>3.9E-2</v>
      </c>
      <c r="N388" s="110">
        <v>4.3999999999999997E-2</v>
      </c>
      <c r="O388" s="110">
        <v>5.0999999999999997E-2</v>
      </c>
      <c r="P388" s="110">
        <v>5.6000000000000001E-2</v>
      </c>
      <c r="Q388" s="110"/>
      <c r="R388" s="110">
        <v>0.06</v>
      </c>
      <c r="S388" s="110"/>
      <c r="T388" s="110"/>
      <c r="U388" s="110"/>
      <c r="V388" s="110"/>
      <c r="W388" s="110"/>
      <c r="X388" s="110"/>
      <c r="Y388" s="110"/>
      <c r="Z388" s="110"/>
      <c r="AA388" s="110"/>
      <c r="AB388" s="111"/>
      <c r="AC388" s="117"/>
      <c r="AD388" s="117"/>
    </row>
    <row r="389" spans="2:30" x14ac:dyDescent="0.6">
      <c r="B389" s="167"/>
      <c r="C389" s="111"/>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1"/>
      <c r="AC389" s="117"/>
      <c r="AD389" s="117"/>
    </row>
    <row r="390" spans="2:30" x14ac:dyDescent="0.6">
      <c r="B390" t="s">
        <v>2315</v>
      </c>
      <c r="M390" s="110">
        <v>3.6999999999999998E-2</v>
      </c>
      <c r="N390" s="110">
        <v>3.6999999999999998E-2</v>
      </c>
      <c r="O390" s="110">
        <v>4.2000000000000003E-2</v>
      </c>
      <c r="P390" s="110">
        <v>3.6999999999999998E-2</v>
      </c>
      <c r="Q390" s="110"/>
      <c r="R390" s="110">
        <v>4.3999999999999997E-2</v>
      </c>
      <c r="S390" s="110">
        <v>4.2999999999999997E-2</v>
      </c>
      <c r="T390" s="110">
        <v>4.2000000000000003E-2</v>
      </c>
      <c r="U390" s="110">
        <v>4.1000000000000002E-2</v>
      </c>
      <c r="V390" s="110"/>
      <c r="W390" s="110">
        <v>0.05</v>
      </c>
      <c r="X390" s="110">
        <v>4.4999999999999998E-2</v>
      </c>
    </row>
    <row r="393" spans="2:30" x14ac:dyDescent="0.6">
      <c r="B393" t="s">
        <v>2314</v>
      </c>
      <c r="H393" s="43">
        <f>H248*H387</f>
        <v>98.97</v>
      </c>
      <c r="I393" s="43">
        <f>I248*I387</f>
        <v>140.37</v>
      </c>
      <c r="J393" s="43">
        <f>J248*J387</f>
        <v>168.672</v>
      </c>
      <c r="K393" s="43">
        <f>K248*K387</f>
        <v>203.46927499999998</v>
      </c>
      <c r="M393" s="43">
        <f>M248*M387</f>
        <v>308.76681500000001</v>
      </c>
      <c r="N393" s="43">
        <f>N248*N387</f>
        <v>373.99667000000005</v>
      </c>
      <c r="O393" s="43">
        <f>O248*O387</f>
        <v>456.69932899999998</v>
      </c>
      <c r="P393" s="43">
        <f>P248*P387</f>
        <v>585.36399999999992</v>
      </c>
      <c r="R393" s="43">
        <f>R248*R387</f>
        <v>704.55</v>
      </c>
      <c r="S393" s="43">
        <f>S248*S387</f>
        <v>876.38599999999997</v>
      </c>
      <c r="T393" s="43">
        <f>T248*T387</f>
        <v>941.68615799999998</v>
      </c>
      <c r="U393" s="43">
        <f>U248*U387</f>
        <v>1111.664</v>
      </c>
      <c r="W393" s="43">
        <f>W248*W387</f>
        <v>1233.0801000000001</v>
      </c>
      <c r="X393" s="43">
        <f>X248*X387</f>
        <v>1328.0014300000003</v>
      </c>
    </row>
    <row r="394" spans="2:30" x14ac:dyDescent="0.6">
      <c r="M394" s="43">
        <f>M248*M390</f>
        <v>326.41063299999996</v>
      </c>
      <c r="N394" s="43">
        <f>N248*N390</f>
        <v>337.50918999999999</v>
      </c>
      <c r="O394" s="43">
        <f>O248*O390</f>
        <v>408.11429400000003</v>
      </c>
      <c r="P394" s="43">
        <f>P248*P390</f>
        <v>416.50899999999996</v>
      </c>
      <c r="R394" s="43">
        <f>R248*R390</f>
        <v>563.64</v>
      </c>
      <c r="S394" s="43">
        <f>S248*S390</f>
        <v>638.72199999999998</v>
      </c>
      <c r="T394" s="43">
        <f>T248*T390</f>
        <v>648.37407600000006</v>
      </c>
      <c r="U394" s="43">
        <f>U248*U390</f>
        <v>747.18400000000008</v>
      </c>
      <c r="W394" s="43">
        <f>W248*W390</f>
        <v>978.6350000000001</v>
      </c>
      <c r="X394" s="43">
        <f>X248*X390</f>
        <v>853.71520499999997</v>
      </c>
    </row>
    <row r="396" spans="2:30" x14ac:dyDescent="0.6">
      <c r="B396" t="s">
        <v>985</v>
      </c>
      <c r="C396" s="233">
        <f>Master!D194/Master!D191</f>
        <v>1.9838555205910522E-2</v>
      </c>
      <c r="D396" s="519">
        <v>0.04</v>
      </c>
      <c r="E396" s="519">
        <v>0.05</v>
      </c>
      <c r="F396" s="519">
        <v>0.06</v>
      </c>
      <c r="G396" s="513">
        <f>G246/G$248</f>
        <v>6.0542168674698797E-2</v>
      </c>
      <c r="H396" s="513">
        <f>H246/H$248</f>
        <v>9.214913610184905E-2</v>
      </c>
      <c r="I396" s="513">
        <f>I246/I$248</f>
        <v>0.12652276127377646</v>
      </c>
      <c r="J396" s="513">
        <f>J246/J$248</f>
        <v>0.17131474103585656</v>
      </c>
      <c r="K396" s="513">
        <f>K246/K$248</f>
        <v>0.21213387623266464</v>
      </c>
      <c r="L396" s="233"/>
      <c r="M396" s="513">
        <f>M246/M$248</f>
        <v>0.22755845701876998</v>
      </c>
      <c r="N396" s="513">
        <f>N246/N$248</f>
        <v>0.21333926048058127</v>
      </c>
      <c r="O396" s="513">
        <f>O246/O$248</f>
        <v>0.19602075001078009</v>
      </c>
      <c r="P396" s="513">
        <f>P246/P$248</f>
        <v>0.17526872168428534</v>
      </c>
    </row>
    <row r="397" spans="2:30" x14ac:dyDescent="0.6">
      <c r="B397" t="s">
        <v>986</v>
      </c>
      <c r="C397" s="234">
        <f>(1-C396)</f>
        <v>0.98016144479408951</v>
      </c>
      <c r="D397" s="234">
        <f>(1-D396)</f>
        <v>0.96</v>
      </c>
      <c r="E397" s="234">
        <f>(1-E396)</f>
        <v>0.95</v>
      </c>
      <c r="F397" s="234">
        <f>(1-F396)</f>
        <v>0.94</v>
      </c>
      <c r="G397" s="234">
        <f t="shared" ref="G397:M397" si="129">(1-G396)</f>
        <v>0.93945783132530125</v>
      </c>
      <c r="H397" s="234">
        <f t="shared" si="129"/>
        <v>0.90785086389815095</v>
      </c>
      <c r="I397" s="234">
        <f t="shared" si="129"/>
        <v>0.87347723872622351</v>
      </c>
      <c r="J397" s="234">
        <f t="shared" si="129"/>
        <v>0.82868525896414347</v>
      </c>
      <c r="K397" s="234">
        <f t="shared" si="129"/>
        <v>0.78786612376733534</v>
      </c>
      <c r="L397" s="234"/>
      <c r="M397" s="234">
        <f t="shared" si="129"/>
        <v>0.77244154298123002</v>
      </c>
      <c r="N397" s="234">
        <f>(1-N396)</f>
        <v>0.78666073951941873</v>
      </c>
      <c r="O397" s="234">
        <f>(1-O396)</f>
        <v>0.80397924998921988</v>
      </c>
      <c r="P397" s="234">
        <f>(1-P396)</f>
        <v>0.82473127831571469</v>
      </c>
    </row>
    <row r="399" spans="2:30" x14ac:dyDescent="0.6">
      <c r="B399" t="s">
        <v>988</v>
      </c>
      <c r="C399" s="234">
        <f>$C$396</f>
        <v>1.9838555205910522E-2</v>
      </c>
      <c r="D399" s="234">
        <f>$C$396</f>
        <v>1.9838555205910522E-2</v>
      </c>
      <c r="E399" s="234">
        <f>$C$396</f>
        <v>1.9838555205910522E-2</v>
      </c>
      <c r="F399" s="234">
        <f>$C$396</f>
        <v>1.9838555205910522E-2</v>
      </c>
      <c r="G399" s="234">
        <f t="shared" ref="G399:P399" si="130">$C$396</f>
        <v>1.9838555205910522E-2</v>
      </c>
      <c r="H399" s="234">
        <f t="shared" si="130"/>
        <v>1.9838555205910522E-2</v>
      </c>
      <c r="I399" s="234">
        <f t="shared" si="130"/>
        <v>1.9838555205910522E-2</v>
      </c>
      <c r="J399" s="234">
        <f t="shared" si="130"/>
        <v>1.9838555205910522E-2</v>
      </c>
      <c r="K399" s="234">
        <f t="shared" si="130"/>
        <v>1.9838555205910522E-2</v>
      </c>
      <c r="L399" s="234"/>
      <c r="M399" s="234">
        <f t="shared" si="130"/>
        <v>1.9838555205910522E-2</v>
      </c>
      <c r="N399" s="234">
        <f t="shared" si="130"/>
        <v>1.9838555205910522E-2</v>
      </c>
      <c r="O399" s="234">
        <f t="shared" si="130"/>
        <v>1.9838555205910522E-2</v>
      </c>
      <c r="P399" s="234">
        <f t="shared" si="130"/>
        <v>1.9838555205910522E-2</v>
      </c>
    </row>
    <row r="400" spans="2:30" x14ac:dyDescent="0.6">
      <c r="B400" t="s">
        <v>991</v>
      </c>
      <c r="C400" s="234">
        <f>1-C399</f>
        <v>0.98016144479408951</v>
      </c>
      <c r="D400" s="234">
        <f>1-D399</f>
        <v>0.98016144479408951</v>
      </c>
      <c r="E400" s="234">
        <f>1-E399</f>
        <v>0.98016144479408951</v>
      </c>
      <c r="F400" s="234">
        <f>1-F399</f>
        <v>0.98016144479408951</v>
      </c>
      <c r="G400" s="234">
        <f t="shared" ref="G400:M400" si="131">1-G399</f>
        <v>0.98016144479408951</v>
      </c>
      <c r="H400" s="234">
        <f t="shared" si="131"/>
        <v>0.98016144479408951</v>
      </c>
      <c r="I400" s="234">
        <f t="shared" si="131"/>
        <v>0.98016144479408951</v>
      </c>
      <c r="J400" s="234">
        <f t="shared" si="131"/>
        <v>0.98016144479408951</v>
      </c>
      <c r="K400" s="234">
        <f t="shared" si="131"/>
        <v>0.98016144479408951</v>
      </c>
      <c r="L400" s="234"/>
      <c r="M400" s="234">
        <f t="shared" si="131"/>
        <v>0.98016144479408951</v>
      </c>
      <c r="N400" s="234">
        <f>1-N399</f>
        <v>0.98016144479408951</v>
      </c>
      <c r="O400" s="234">
        <f>1-O399</f>
        <v>0.98016144479408951</v>
      </c>
      <c r="P400" s="234">
        <f>1-P399</f>
        <v>0.98016144479408951</v>
      </c>
    </row>
    <row r="402" spans="2:27" x14ac:dyDescent="0.6">
      <c r="B402" t="s">
        <v>989</v>
      </c>
      <c r="C402" s="518">
        <f>C387</f>
        <v>4.4999999999999998E-2</v>
      </c>
      <c r="D402" s="518">
        <f t="shared" ref="D402:K402" si="132">D407/D409</f>
        <v>0.05</v>
      </c>
      <c r="E402" s="518">
        <f t="shared" si="132"/>
        <v>6.1999999999999986E-2</v>
      </c>
      <c r="F402" s="518">
        <f t="shared" si="132"/>
        <v>5.349397015738911E-2</v>
      </c>
      <c r="G402" s="518">
        <f t="shared" si="132"/>
        <v>3.9974781033685014E-2</v>
      </c>
      <c r="H402" s="518">
        <f t="shared" si="132"/>
        <v>3.1274352037559489E-2</v>
      </c>
      <c r="I402" s="518">
        <f t="shared" si="132"/>
        <v>3.2371911755959271E-2</v>
      </c>
      <c r="J402" s="518">
        <f t="shared" si="132"/>
        <v>3.6523872583593624E-2</v>
      </c>
      <c r="K402" s="518">
        <f t="shared" si="132"/>
        <v>3.6515835619399965E-2</v>
      </c>
      <c r="L402" s="518"/>
      <c r="M402" s="518">
        <f>M407/M409</f>
        <v>3.9382025121960311E-2</v>
      </c>
      <c r="N402" s="518">
        <f>N407/N409</f>
        <v>4.4307573378263666E-2</v>
      </c>
      <c r="O402" s="518">
        <f>O407/O409</f>
        <v>5.1450409991268015E-2</v>
      </c>
      <c r="P402" s="518">
        <f>P407/P409</f>
        <v>5.6510545813734825E-2</v>
      </c>
    </row>
    <row r="403" spans="2:27" x14ac:dyDescent="0.6">
      <c r="B403" t="s">
        <v>990</v>
      </c>
      <c r="C403" s="518">
        <f t="shared" ref="C403:K403" si="133">(C388-C400*C402)/C399</f>
        <v>4.4999999999999998E-2</v>
      </c>
      <c r="D403" s="518">
        <f t="shared" si="133"/>
        <v>4.999999999999992E-2</v>
      </c>
      <c r="E403" s="518">
        <f t="shared" si="133"/>
        <v>6.2000000000000437E-2</v>
      </c>
      <c r="F403" s="518">
        <f t="shared" si="133"/>
        <v>2.8594467534237313E-2</v>
      </c>
      <c r="G403" s="518">
        <f t="shared" si="133"/>
        <v>-9.1609056918582274E-3</v>
      </c>
      <c r="H403" s="518">
        <f t="shared" si="133"/>
        <v>1.7445117261543554E-2</v>
      </c>
      <c r="I403" s="518">
        <f t="shared" si="133"/>
        <v>1.362499434695036E-2</v>
      </c>
      <c r="J403" s="518">
        <f t="shared" si="133"/>
        <v>1.0117081456105258E-2</v>
      </c>
      <c r="K403" s="518">
        <f t="shared" si="133"/>
        <v>1.0514162914611182E-2</v>
      </c>
      <c r="L403" s="518"/>
      <c r="M403" s="518">
        <f>(M388-M400*M402)/M399</f>
        <v>2.0125324319147073E-2</v>
      </c>
      <c r="N403" s="518">
        <f>(N388-N400*N402)/N399</f>
        <v>2.8803753918062593E-2</v>
      </c>
      <c r="O403" s="518">
        <f>(O388-O400*O402)/O399</f>
        <v>2.8746640155558039E-2</v>
      </c>
      <c r="P403" s="518">
        <f>(P388-P400*P402)/P399</f>
        <v>3.0775515795887713E-2</v>
      </c>
    </row>
    <row r="405" spans="2:27" x14ac:dyDescent="0.6">
      <c r="B405" s="1313" t="s">
        <v>992</v>
      </c>
      <c r="C405" s="43">
        <f t="shared" ref="C405:K405" si="134">C396/C399</f>
        <v>1</v>
      </c>
      <c r="D405" s="43">
        <f t="shared" si="134"/>
        <v>2.0162758620689654</v>
      </c>
      <c r="E405" s="43">
        <f t="shared" si="134"/>
        <v>2.5203448275862068</v>
      </c>
      <c r="F405" s="43">
        <f t="shared" si="134"/>
        <v>3.0244137931034483</v>
      </c>
      <c r="G405" s="43">
        <f t="shared" si="134"/>
        <v>3.0517428334025758</v>
      </c>
      <c r="H405" s="43">
        <f t="shared" si="134"/>
        <v>4.6449519708166527</v>
      </c>
      <c r="I405" s="43">
        <f t="shared" si="134"/>
        <v>6.3776197389657385</v>
      </c>
      <c r="J405" s="43">
        <f t="shared" si="134"/>
        <v>8.6354444291798309</v>
      </c>
      <c r="K405" s="43">
        <f t="shared" si="134"/>
        <v>10.693010354376177</v>
      </c>
      <c r="M405" s="43">
        <f>M396/M399</f>
        <v>11.470515602415102</v>
      </c>
      <c r="N405" s="43">
        <f>N396/N399</f>
        <v>10.753770033465988</v>
      </c>
      <c r="O405" s="43">
        <f>O396/O399</f>
        <v>9.8807976677847691</v>
      </c>
      <c r="P405" s="43">
        <f>P396/P399</f>
        <v>8.8347523226926992</v>
      </c>
    </row>
    <row r="406" spans="2:27" x14ac:dyDescent="0.6">
      <c r="B406" s="1313"/>
    </row>
    <row r="407" spans="2:27" x14ac:dyDescent="0.6">
      <c r="B407" s="1313"/>
      <c r="C407" s="110">
        <f t="shared" ref="C407:K407" si="135">C387-(C405*C388)</f>
        <v>0</v>
      </c>
      <c r="D407" s="110">
        <f t="shared" si="135"/>
        <v>-5.0813793103448274E-2</v>
      </c>
      <c r="E407" s="110">
        <f t="shared" si="135"/>
        <v>-9.4261379310344812E-2</v>
      </c>
      <c r="F407" s="110">
        <f t="shared" si="135"/>
        <v>-0.10829393103448276</v>
      </c>
      <c r="G407" s="110">
        <f t="shared" si="135"/>
        <v>-8.201797050270046E-2</v>
      </c>
      <c r="H407" s="110">
        <f t="shared" si="135"/>
        <v>-0.11399351109531625</v>
      </c>
      <c r="I407" s="110">
        <f t="shared" si="135"/>
        <v>-0.17408383164690364</v>
      </c>
      <c r="J407" s="110">
        <f t="shared" si="135"/>
        <v>-0.27887599945047392</v>
      </c>
      <c r="K407" s="110">
        <f t="shared" si="135"/>
        <v>-0.35394837275754232</v>
      </c>
      <c r="L407" s="110"/>
      <c r="M407" s="110">
        <f>M387-(M405*M388)</f>
        <v>-0.41235010849418896</v>
      </c>
      <c r="N407" s="110">
        <f>N387-(N405*N388)</f>
        <v>-0.43216588147250351</v>
      </c>
      <c r="O407" s="110">
        <f>O387-(O405*O388)</f>
        <v>-0.45692068105702316</v>
      </c>
      <c r="P407" s="110">
        <f>P387-(P405*P388)</f>
        <v>-0.44274613007079117</v>
      </c>
    </row>
    <row r="408" spans="2:27" x14ac:dyDescent="0.6">
      <c r="B408" s="1313"/>
      <c r="C408" s="110">
        <f t="shared" ref="C408:K408" si="136">C396-(C405*C399)</f>
        <v>0</v>
      </c>
      <c r="D408" s="110">
        <f t="shared" si="136"/>
        <v>0</v>
      </c>
      <c r="E408" s="110">
        <f t="shared" si="136"/>
        <v>0</v>
      </c>
      <c r="F408" s="110">
        <f t="shared" si="136"/>
        <v>0</v>
      </c>
      <c r="G408" s="110">
        <f t="shared" si="136"/>
        <v>0</v>
      </c>
      <c r="H408" s="110">
        <f t="shared" si="136"/>
        <v>0</v>
      </c>
      <c r="I408" s="110">
        <f t="shared" si="136"/>
        <v>0</v>
      </c>
      <c r="J408" s="110">
        <f t="shared" si="136"/>
        <v>0</v>
      </c>
      <c r="K408" s="110">
        <f t="shared" si="136"/>
        <v>0</v>
      </c>
      <c r="L408" s="110"/>
      <c r="M408" s="110">
        <f>M396-(M405*M399)</f>
        <v>0</v>
      </c>
      <c r="N408" s="110">
        <f>N396-(N405*N399)</f>
        <v>0</v>
      </c>
      <c r="O408" s="110">
        <f>O396-(O405*O399)</f>
        <v>0</v>
      </c>
      <c r="P408" s="110">
        <f>P396-(P405*P399)</f>
        <v>0</v>
      </c>
    </row>
    <row r="409" spans="2:27" x14ac:dyDescent="0.6">
      <c r="B409" s="1313"/>
      <c r="C409" s="110">
        <f t="shared" ref="C409:K409" si="137">C397-(C405*C400)</f>
        <v>0</v>
      </c>
      <c r="D409" s="110">
        <f t="shared" si="137"/>
        <v>-1.0162758620689654</v>
      </c>
      <c r="E409" s="110">
        <f t="shared" si="137"/>
        <v>-1.520344827586207</v>
      </c>
      <c r="F409" s="110">
        <f t="shared" si="137"/>
        <v>-2.0244137931034483</v>
      </c>
      <c r="G409" s="110">
        <f t="shared" si="137"/>
        <v>-2.0517428334025762</v>
      </c>
      <c r="H409" s="110">
        <f t="shared" si="137"/>
        <v>-3.6449519708166527</v>
      </c>
      <c r="I409" s="110">
        <f t="shared" si="137"/>
        <v>-5.3776197389657394</v>
      </c>
      <c r="J409" s="110">
        <f t="shared" si="137"/>
        <v>-7.6354444291798318</v>
      </c>
      <c r="K409" s="110">
        <f t="shared" si="137"/>
        <v>-9.6930103543761774</v>
      </c>
      <c r="L409" s="110"/>
      <c r="M409" s="110">
        <f>M397-(M405*M400)</f>
        <v>-10.470515602415102</v>
      </c>
      <c r="N409" s="110">
        <f>N397-(N405*N400)</f>
        <v>-9.7537700334659885</v>
      </c>
      <c r="O409" s="110">
        <f>O397-(O405*O400)</f>
        <v>-8.8807976677847691</v>
      </c>
      <c r="P409" s="110">
        <f>P397-(P405*P400)</f>
        <v>-7.8347523226927001</v>
      </c>
    </row>
    <row r="411" spans="2:27" x14ac:dyDescent="0.6">
      <c r="B411" s="20" t="s">
        <v>1323</v>
      </c>
    </row>
    <row r="412" spans="2:27" ht="15.9" thickBot="1" x14ac:dyDescent="0.65"/>
    <row r="413" spans="2:27" ht="15.9" thickBot="1" x14ac:dyDescent="0.65">
      <c r="B413" t="s">
        <v>1038</v>
      </c>
      <c r="D413" s="829">
        <v>6.1</v>
      </c>
    </row>
    <row r="414" spans="2:27" x14ac:dyDescent="0.6">
      <c r="G414" s="953"/>
      <c r="H414" s="953"/>
      <c r="I414" s="953"/>
      <c r="J414" s="953"/>
      <c r="K414" s="953"/>
      <c r="L414" s="953"/>
      <c r="M414" s="953"/>
      <c r="N414" s="953"/>
      <c r="O414" s="953"/>
      <c r="P414" s="953"/>
      <c r="Q414" s="953"/>
      <c r="R414" s="953"/>
      <c r="S414" s="953"/>
      <c r="T414" s="953"/>
      <c r="U414" s="953"/>
      <c r="W414" s="953"/>
      <c r="X414" s="953"/>
      <c r="Y414" s="953"/>
      <c r="Z414" s="953"/>
    </row>
    <row r="415" spans="2:27" x14ac:dyDescent="0.6">
      <c r="B415" t="s">
        <v>993</v>
      </c>
      <c r="D415"/>
      <c r="E415"/>
      <c r="F415"/>
      <c r="G415" s="953">
        <f>G416+G417</f>
        <v>3320</v>
      </c>
      <c r="H415" s="953">
        <f t="shared" ref="H415:M415" si="138">H416+H417</f>
        <v>3299</v>
      </c>
      <c r="I415" s="953">
        <f t="shared" si="138"/>
        <v>4679</v>
      </c>
      <c r="J415" s="953">
        <f t="shared" si="138"/>
        <v>5271</v>
      </c>
      <c r="K415" s="953">
        <f t="shared" si="138"/>
        <v>6563.5249999999996</v>
      </c>
      <c r="L415" s="953"/>
      <c r="M415" s="953">
        <f t="shared" si="138"/>
        <v>8821.9089999999997</v>
      </c>
      <c r="N415" s="953">
        <f>N416+N417</f>
        <v>9121.8700000000008</v>
      </c>
      <c r="O415" s="953">
        <f>O416+O417</f>
        <v>9717.0069999999996</v>
      </c>
      <c r="P415" s="953">
        <f>P416+P417</f>
        <v>11257</v>
      </c>
      <c r="Q415" s="953"/>
      <c r="R415" s="953">
        <f t="shared" ref="R415" si="139">R416+R417</f>
        <v>12810</v>
      </c>
      <c r="S415" s="953">
        <f>S416+S417</f>
        <v>14854</v>
      </c>
      <c r="T415" s="953">
        <f>T416+T417</f>
        <v>15437.477999999999</v>
      </c>
      <c r="U415" s="953">
        <f>U416+U417</f>
        <v>18224</v>
      </c>
      <c r="V415" s="83"/>
      <c r="W415" s="953">
        <f t="shared" ref="W415" si="140">W416+W417</f>
        <v>19572.7</v>
      </c>
      <c r="X415" s="953"/>
      <c r="Y415" s="953">
        <f>Y416+Y417</f>
        <v>20788.926960636261</v>
      </c>
      <c r="Z415" s="953">
        <f>Z416+Z417</f>
        <v>22272.383262092757</v>
      </c>
      <c r="AA415" s="83"/>
    </row>
    <row r="416" spans="2:27" x14ac:dyDescent="0.6">
      <c r="B416" s="167" t="s">
        <v>180</v>
      </c>
      <c r="D416"/>
      <c r="E416"/>
      <c r="F416"/>
      <c r="G416" s="952">
        <f t="shared" ref="G416:K417" si="141">G245</f>
        <v>3119</v>
      </c>
      <c r="H416" s="952">
        <f t="shared" si="141"/>
        <v>2995</v>
      </c>
      <c r="I416" s="952">
        <f t="shared" si="141"/>
        <v>4087</v>
      </c>
      <c r="J416" s="952">
        <f t="shared" si="141"/>
        <v>4368</v>
      </c>
      <c r="K416" s="953">
        <f t="shared" si="141"/>
        <v>5171.1790000000001</v>
      </c>
      <c r="L416" s="953"/>
      <c r="M416" s="953">
        <f t="shared" ref="M416:P417" si="142">M245</f>
        <v>6814.4089999999997</v>
      </c>
      <c r="N416" s="953">
        <f t="shared" si="142"/>
        <v>7175.817</v>
      </c>
      <c r="O416" s="953">
        <f t="shared" si="142"/>
        <v>7812.2719999999999</v>
      </c>
      <c r="P416" s="953">
        <f t="shared" si="142"/>
        <v>9284</v>
      </c>
      <c r="Q416" s="953"/>
      <c r="R416" s="953">
        <f t="shared" ref="R416:U417" si="143">R245</f>
        <v>10474</v>
      </c>
      <c r="S416" s="953">
        <f t="shared" si="143"/>
        <v>12062</v>
      </c>
      <c r="T416" s="953">
        <f t="shared" si="143"/>
        <v>12346.5</v>
      </c>
      <c r="U416" s="953">
        <f t="shared" si="143"/>
        <v>14510</v>
      </c>
      <c r="W416" s="953">
        <f>W245</f>
        <v>15093.7</v>
      </c>
      <c r="X416" s="953"/>
      <c r="Y416" s="953">
        <f>Y245</f>
        <v>15417.950216450216</v>
      </c>
      <c r="Z416" s="953">
        <f>Z245</f>
        <v>16254.035549960725</v>
      </c>
    </row>
    <row r="417" spans="2:26" x14ac:dyDescent="0.6">
      <c r="B417" s="167" t="s">
        <v>218</v>
      </c>
      <c r="D417"/>
      <c r="E417"/>
      <c r="F417"/>
      <c r="G417" s="952">
        <f t="shared" si="141"/>
        <v>201</v>
      </c>
      <c r="H417" s="952">
        <f t="shared" si="141"/>
        <v>304</v>
      </c>
      <c r="I417" s="952">
        <f t="shared" si="141"/>
        <v>592</v>
      </c>
      <c r="J417" s="952">
        <f t="shared" si="141"/>
        <v>903</v>
      </c>
      <c r="K417" s="953">
        <f t="shared" si="141"/>
        <v>1392.346</v>
      </c>
      <c r="L417" s="953"/>
      <c r="M417" s="953">
        <f t="shared" si="142"/>
        <v>2007.5</v>
      </c>
      <c r="N417" s="953">
        <f t="shared" si="142"/>
        <v>1946.0530000000001</v>
      </c>
      <c r="O417" s="953">
        <f t="shared" si="142"/>
        <v>1904.7350000000001</v>
      </c>
      <c r="P417" s="953">
        <f t="shared" si="142"/>
        <v>1973</v>
      </c>
      <c r="Q417" s="953"/>
      <c r="R417" s="953">
        <f t="shared" si="143"/>
        <v>2336</v>
      </c>
      <c r="S417" s="953">
        <f t="shared" si="143"/>
        <v>2792</v>
      </c>
      <c r="T417" s="953">
        <f t="shared" si="143"/>
        <v>3090.9780000000001</v>
      </c>
      <c r="U417" s="953">
        <f t="shared" si="143"/>
        <v>3714</v>
      </c>
      <c r="W417" s="953">
        <f>W246</f>
        <v>4479</v>
      </c>
      <c r="X417" s="953"/>
      <c r="Y417" s="953">
        <f>Y246</f>
        <v>5370.9767441860467</v>
      </c>
      <c r="Z417" s="953">
        <f>Z246</f>
        <v>6018.3477121320338</v>
      </c>
    </row>
    <row r="418" spans="2:26" x14ac:dyDescent="0.6">
      <c r="B418" s="167" t="s">
        <v>419</v>
      </c>
      <c r="D418"/>
      <c r="E418"/>
      <c r="F418"/>
      <c r="G418" s="952"/>
      <c r="H418" s="952"/>
      <c r="I418" s="952"/>
      <c r="J418" s="952"/>
      <c r="K418" s="953"/>
      <c r="L418" s="953"/>
      <c r="M418" s="953"/>
      <c r="N418" s="953"/>
      <c r="O418" s="953"/>
      <c r="P418" s="953"/>
      <c r="Q418" s="953"/>
      <c r="R418" s="953"/>
      <c r="S418" s="953"/>
      <c r="T418" s="953"/>
      <c r="U418" s="953"/>
      <c r="W418" s="953"/>
      <c r="X418" s="953"/>
      <c r="Y418" s="953"/>
      <c r="Z418" s="953"/>
    </row>
    <row r="419" spans="2:26" x14ac:dyDescent="0.6">
      <c r="G419" s="953"/>
      <c r="H419" s="953"/>
      <c r="I419" s="953"/>
      <c r="J419" s="953"/>
      <c r="K419" s="953"/>
      <c r="L419" s="953"/>
      <c r="M419" s="953"/>
      <c r="N419" s="953"/>
      <c r="O419" s="953"/>
      <c r="P419" s="953"/>
      <c r="Q419" s="953"/>
      <c r="R419" s="953"/>
      <c r="S419" s="953"/>
      <c r="T419" s="953"/>
      <c r="U419" s="953"/>
      <c r="W419" s="953"/>
      <c r="X419" s="953"/>
      <c r="Y419" s="953"/>
      <c r="Z419" s="953"/>
    </row>
    <row r="420" spans="2:26" x14ac:dyDescent="0.6">
      <c r="B420" t="s">
        <v>1032</v>
      </c>
      <c r="G420" s="953"/>
      <c r="H420" s="953">
        <f>3/$D$413*G415</f>
        <v>1632.7868852459019</v>
      </c>
      <c r="I420" s="953">
        <f>3/$D$413*H415</f>
        <v>1622.4590163934429</v>
      </c>
      <c r="J420" s="953">
        <f>3/$D$413*I415</f>
        <v>2301.1475409836066</v>
      </c>
      <c r="K420" s="953">
        <f>3/$D$413*J415</f>
        <v>2592.2950819672133</v>
      </c>
      <c r="L420" s="953"/>
      <c r="M420" s="953">
        <f>3/$D$413*K415</f>
        <v>3227.9631147540986</v>
      </c>
      <c r="N420" s="953">
        <f>3/$D$413*M415</f>
        <v>4338.6437704918035</v>
      </c>
      <c r="O420" s="953">
        <f>3/$D$413*N415</f>
        <v>4486.1655737704923</v>
      </c>
      <c r="P420" s="953">
        <f>3/$D$413*O415</f>
        <v>4778.8559016393447</v>
      </c>
      <c r="Q420" s="953"/>
      <c r="R420" s="953">
        <f>3/$D$413*P415</f>
        <v>5536.2295081967222</v>
      </c>
      <c r="S420" s="953">
        <f>3/$D$413*R415</f>
        <v>6300.0000000000009</v>
      </c>
      <c r="T420" s="953">
        <f>3/$D$413*S415</f>
        <v>7305.245901639345</v>
      </c>
      <c r="U420" s="953">
        <f>3/$D$413*T415</f>
        <v>7592.2022950819673</v>
      </c>
      <c r="W420" s="953">
        <f>3/$D$413*U415</f>
        <v>8962.6229508196739</v>
      </c>
      <c r="X420" s="953"/>
      <c r="Y420" s="953">
        <f>3/$D$413*X415</f>
        <v>0</v>
      </c>
      <c r="Z420" s="953">
        <f>3/$D$413*Y415</f>
        <v>10224.062439657178</v>
      </c>
    </row>
    <row r="421" spans="2:26" x14ac:dyDescent="0.6">
      <c r="B421" s="167" t="s">
        <v>1035</v>
      </c>
      <c r="G421" s="953"/>
      <c r="H421" s="953">
        <f t="shared" ref="H421:K422" si="144">H$420*G441</f>
        <v>1469.5081967213118</v>
      </c>
      <c r="I421" s="953">
        <f t="shared" si="144"/>
        <v>1472.9508196721313</v>
      </c>
      <c r="J421" s="953">
        <f t="shared" si="144"/>
        <v>2010</v>
      </c>
      <c r="K421" s="953">
        <f t="shared" si="144"/>
        <v>2148.1967213114758</v>
      </c>
      <c r="L421" s="953"/>
      <c r="M421" s="953">
        <f>M$420*K441</f>
        <v>2543.202786885246</v>
      </c>
      <c r="N421" s="953">
        <f>N$420*M441</f>
        <v>3351.3486885245902</v>
      </c>
      <c r="O421" s="953">
        <f>O$420*N441</f>
        <v>3529.0903278688529</v>
      </c>
      <c r="P421" s="953">
        <f>P$420*O441</f>
        <v>3842.1009836065573</v>
      </c>
      <c r="Q421" s="953"/>
      <c r="R421" s="953">
        <f>R$420*P441</f>
        <v>4565.9016393442635</v>
      </c>
      <c r="S421" s="953">
        <f>S$420*R441</f>
        <v>0</v>
      </c>
      <c r="T421" s="953">
        <f>T$420*S441</f>
        <v>0</v>
      </c>
      <c r="U421" s="953">
        <f>U$420*T441</f>
        <v>0</v>
      </c>
      <c r="W421" s="953">
        <f>W$420*U441</f>
        <v>0</v>
      </c>
      <c r="X421" s="953"/>
      <c r="Y421" s="953">
        <f>Y$420*X441</f>
        <v>0</v>
      </c>
      <c r="Z421" s="953">
        <f>Z$420*Y441</f>
        <v>10121.821815260606</v>
      </c>
    </row>
    <row r="422" spans="2:26" x14ac:dyDescent="0.6">
      <c r="B422" s="167" t="s">
        <v>1034</v>
      </c>
      <c r="G422" s="953"/>
      <c r="H422" s="953">
        <f t="shared" si="144"/>
        <v>163.27868852459019</v>
      </c>
      <c r="I422" s="953">
        <f t="shared" si="144"/>
        <v>149.50819672131149</v>
      </c>
      <c r="J422" s="953">
        <f t="shared" si="144"/>
        <v>291.14754098360658</v>
      </c>
      <c r="K422" s="953">
        <f t="shared" si="144"/>
        <v>444.09836065573768</v>
      </c>
      <c r="L422" s="953"/>
      <c r="M422" s="953">
        <f>M$420*K442</f>
        <v>684.76032786885253</v>
      </c>
      <c r="N422" s="953">
        <f>N$420*N442</f>
        <v>925.60305348540214</v>
      </c>
      <c r="O422" s="953">
        <f>O$420*O442</f>
        <v>879.38154044303349</v>
      </c>
      <c r="P422" s="953">
        <f>P$420*P442</f>
        <v>837.58396499373077</v>
      </c>
      <c r="Q422" s="953"/>
      <c r="R422" s="953">
        <f>R$420*P442</f>
        <v>970.32786885245923</v>
      </c>
      <c r="S422" s="953">
        <f>S$420*S442</f>
        <v>0</v>
      </c>
      <c r="T422" s="953">
        <f>T$420*T442</f>
        <v>0</v>
      </c>
      <c r="U422" s="953">
        <f>U$420*U442</f>
        <v>0</v>
      </c>
      <c r="W422" s="953">
        <f>W$420*U442</f>
        <v>0</v>
      </c>
      <c r="X422" s="953"/>
      <c r="Y422" s="953">
        <f>Y$420*Y442</f>
        <v>0</v>
      </c>
      <c r="Z422" s="953">
        <f>Z$420*Z442</f>
        <v>204.48124879314358</v>
      </c>
    </row>
    <row r="423" spans="2:26" x14ac:dyDescent="0.6">
      <c r="B423" s="167" t="s">
        <v>1320</v>
      </c>
      <c r="G423" s="953"/>
      <c r="H423" s="953"/>
      <c r="I423" s="953"/>
      <c r="J423" s="953"/>
      <c r="K423" s="953"/>
      <c r="L423" s="953"/>
      <c r="M423" s="953"/>
      <c r="N423" s="953"/>
      <c r="O423" s="953"/>
      <c r="P423" s="953"/>
      <c r="Q423" s="953"/>
      <c r="R423" s="953"/>
      <c r="S423" s="953"/>
      <c r="T423" s="953"/>
      <c r="U423" s="953"/>
      <c r="W423" s="953" t="e">
        <f>W$420*#REF!</f>
        <v>#REF!</v>
      </c>
      <c r="X423" s="953"/>
      <c r="Y423" s="953">
        <f>Y$420*X443</f>
        <v>0</v>
      </c>
      <c r="Z423" s="953">
        <f>Z$420*Y443</f>
        <v>0</v>
      </c>
    </row>
    <row r="424" spans="2:26" x14ac:dyDescent="0.6">
      <c r="G424" s="953"/>
      <c r="H424" s="953"/>
      <c r="I424" s="953"/>
      <c r="J424" s="953"/>
      <c r="K424" s="953"/>
      <c r="L424" s="953"/>
      <c r="M424" s="953"/>
      <c r="N424" s="953"/>
      <c r="O424" s="953"/>
      <c r="P424" s="953"/>
      <c r="Q424" s="953"/>
      <c r="R424" s="953"/>
      <c r="S424" s="953"/>
      <c r="T424" s="953"/>
      <c r="U424" s="953"/>
      <c r="W424" s="953"/>
      <c r="X424" s="953"/>
      <c r="Y424" s="953"/>
      <c r="Z424" s="953"/>
    </row>
    <row r="425" spans="2:26" x14ac:dyDescent="0.6">
      <c r="B425" s="20" t="s">
        <v>1033</v>
      </c>
      <c r="C425" s="20"/>
      <c r="D425" s="23"/>
      <c r="E425" s="23"/>
      <c r="F425" s="23"/>
      <c r="G425" s="23">
        <f>(G415)-(F415-G420)</f>
        <v>3320</v>
      </c>
      <c r="H425" s="23">
        <f>(H415)-(G415-H420)</f>
        <v>1611.7868852459019</v>
      </c>
      <c r="I425" s="23">
        <f>(I415)-(H415-I420)</f>
        <v>3002.4590163934427</v>
      </c>
      <c r="J425" s="23">
        <f>(J415)-(I415-J420)</f>
        <v>2893.1475409836066</v>
      </c>
      <c r="K425" s="23">
        <f>(K415)-(J415-K420)</f>
        <v>3884.8200819672129</v>
      </c>
      <c r="L425" s="23"/>
      <c r="M425" s="23">
        <f>(M415)-(K415-M420)</f>
        <v>5486.3471147540986</v>
      </c>
      <c r="N425" s="23">
        <f>(N415)-(M415-N420)</f>
        <v>4638.6047704918046</v>
      </c>
      <c r="O425" s="23">
        <f>(O415)-(N415-O420)</f>
        <v>5081.3025737704911</v>
      </c>
      <c r="P425" s="23">
        <f>(P415)-(O415-P420)</f>
        <v>6318.8489016393451</v>
      </c>
      <c r="Q425" s="23"/>
      <c r="R425" s="23">
        <f>(R415)-(P415-R420)</f>
        <v>7089.2295081967222</v>
      </c>
      <c r="S425" s="23">
        <f>(S415)-(R415-S420)</f>
        <v>8344</v>
      </c>
      <c r="T425" s="23">
        <f>(T415)-(S415-T420)</f>
        <v>7888.7239016393441</v>
      </c>
      <c r="U425" s="23">
        <f>(U415)-(T415-U420)</f>
        <v>10378.724295081967</v>
      </c>
      <c r="W425" s="23">
        <f>(W415)-(U415-W420)</f>
        <v>10311.322950819675</v>
      </c>
      <c r="X425" s="23"/>
      <c r="Y425" s="23">
        <f>(Y415)-(X415-Y420)</f>
        <v>20788.926960636261</v>
      </c>
      <c r="Z425" s="23">
        <f>(Z415)-(Y415-Z420)</f>
        <v>11707.518741113674</v>
      </c>
    </row>
    <row r="426" spans="2:26" x14ac:dyDescent="0.6">
      <c r="B426" s="167" t="s">
        <v>1035</v>
      </c>
      <c r="G426" s="953">
        <f t="shared" ref="G426:K427" si="145">G$425*G441</f>
        <v>2988</v>
      </c>
      <c r="H426" s="953">
        <f t="shared" si="145"/>
        <v>1463.2621161902018</v>
      </c>
      <c r="I426" s="953">
        <f t="shared" si="145"/>
        <v>2622.5796110279975</v>
      </c>
      <c r="J426" s="953">
        <f t="shared" si="145"/>
        <v>2397.5087192214751</v>
      </c>
      <c r="K426" s="953">
        <f t="shared" si="145"/>
        <v>3060.7181395130101</v>
      </c>
      <c r="L426" s="953"/>
      <c r="M426" s="953">
        <f>M$425*M441</f>
        <v>4237.8824306512752</v>
      </c>
      <c r="N426" s="953">
        <f>N$425*N441</f>
        <v>3649.0082590933866</v>
      </c>
      <c r="O426" s="953">
        <f>O$425*O441</f>
        <v>4085.261832228292</v>
      </c>
      <c r="P426" s="953">
        <f>P$425*P441</f>
        <v>5211.3523321328666</v>
      </c>
      <c r="Q426" s="97"/>
      <c r="R426" s="953">
        <f>R$425*R441</f>
        <v>0</v>
      </c>
      <c r="S426" s="953">
        <f>S$425*S441</f>
        <v>0</v>
      </c>
      <c r="T426" s="953">
        <f>T$425*T441</f>
        <v>0</v>
      </c>
      <c r="U426" s="953">
        <f>U$425*U441</f>
        <v>0</v>
      </c>
      <c r="W426" s="953" t="e">
        <f>W$425*W441</f>
        <v>#REF!</v>
      </c>
      <c r="X426" s="953"/>
      <c r="Y426" s="493">
        <f>X426+500</f>
        <v>500</v>
      </c>
      <c r="Z426" s="493">
        <f>Y426+500</f>
        <v>1000</v>
      </c>
    </row>
    <row r="427" spans="2:26" x14ac:dyDescent="0.6">
      <c r="B427" s="167" t="s">
        <v>1034</v>
      </c>
      <c r="G427" s="953">
        <f t="shared" si="145"/>
        <v>332</v>
      </c>
      <c r="H427" s="953">
        <f t="shared" si="145"/>
        <v>148.52476905569998</v>
      </c>
      <c r="I427" s="953">
        <f t="shared" si="145"/>
        <v>379.87940536544522</v>
      </c>
      <c r="J427" s="953">
        <f t="shared" si="145"/>
        <v>495.63882176213178</v>
      </c>
      <c r="K427" s="953">
        <f t="shared" si="145"/>
        <v>824.1019424542028</v>
      </c>
      <c r="L427" s="953"/>
      <c r="M427" s="953">
        <f>M$425*M442</f>
        <v>1248.4646841028232</v>
      </c>
      <c r="N427" s="1089">
        <v>4800</v>
      </c>
      <c r="O427" s="1089">
        <v>4600</v>
      </c>
      <c r="P427" s="1089">
        <v>5000</v>
      </c>
      <c r="Q427" s="97"/>
      <c r="R427" s="1090">
        <v>6300</v>
      </c>
      <c r="S427" s="1090">
        <v>7300</v>
      </c>
      <c r="T427" s="1090">
        <v>8900</v>
      </c>
      <c r="U427" s="1090">
        <v>10000</v>
      </c>
      <c r="W427" s="1090">
        <v>2000</v>
      </c>
      <c r="X427" s="1090"/>
      <c r="Y427" s="493">
        <f>X427+200</f>
        <v>200</v>
      </c>
      <c r="Z427" s="493">
        <f>Y427+200</f>
        <v>400</v>
      </c>
    </row>
    <row r="428" spans="2:26" x14ac:dyDescent="0.6">
      <c r="B428" s="167" t="s">
        <v>1320</v>
      </c>
      <c r="G428" s="953"/>
      <c r="H428" s="953"/>
      <c r="I428" s="953"/>
      <c r="J428" s="953"/>
      <c r="K428" s="953"/>
      <c r="L428" s="953"/>
      <c r="M428" s="953"/>
      <c r="N428" s="953"/>
      <c r="O428" s="953"/>
      <c r="P428" s="953"/>
      <c r="Q428" s="97"/>
      <c r="R428" s="97"/>
      <c r="S428" s="97"/>
      <c r="T428" s="97"/>
      <c r="U428" s="97"/>
      <c r="W428" s="97">
        <f>W275</f>
        <v>0</v>
      </c>
      <c r="X428" s="97"/>
      <c r="Y428" s="1039">
        <f>Y275</f>
        <v>350</v>
      </c>
      <c r="Z428" s="1039">
        <f>Z275</f>
        <v>531.29552715654938</v>
      </c>
    </row>
    <row r="429" spans="2:26" x14ac:dyDescent="0.6">
      <c r="B429" s="167"/>
      <c r="G429" s="953"/>
      <c r="H429" s="953"/>
      <c r="I429" s="953"/>
      <c r="J429" s="953"/>
      <c r="K429" s="953"/>
      <c r="L429" s="953"/>
      <c r="M429" s="953"/>
      <c r="N429" s="953"/>
      <c r="O429" s="953"/>
      <c r="P429" s="953"/>
      <c r="Q429" s="97"/>
      <c r="R429" s="97"/>
      <c r="S429" s="97"/>
      <c r="T429" s="97"/>
      <c r="U429" s="97"/>
      <c r="W429" s="97"/>
      <c r="X429" s="97"/>
      <c r="Y429" s="493"/>
      <c r="Z429" s="493"/>
    </row>
    <row r="430" spans="2:26" x14ac:dyDescent="0.6">
      <c r="B430" s="167" t="s">
        <v>1626</v>
      </c>
      <c r="G430" s="953"/>
      <c r="H430" s="953"/>
      <c r="I430" s="953"/>
      <c r="J430" s="953"/>
      <c r="K430" s="953"/>
      <c r="L430" s="953"/>
      <c r="M430" s="953"/>
      <c r="N430" s="1089">
        <v>4800</v>
      </c>
      <c r="O430" s="1089">
        <v>4600</v>
      </c>
      <c r="P430" s="1089">
        <v>5000</v>
      </c>
      <c r="Q430" s="97"/>
      <c r="R430" s="1090">
        <v>6300</v>
      </c>
      <c r="S430" s="1090">
        <v>7300</v>
      </c>
      <c r="T430" s="1090">
        <v>8900</v>
      </c>
      <c r="U430" s="1090">
        <v>10000</v>
      </c>
      <c r="W430" s="1090">
        <v>12300</v>
      </c>
      <c r="X430" s="1090"/>
      <c r="Y430" s="493"/>
      <c r="Z430" s="493"/>
    </row>
    <row r="431" spans="2:26" x14ac:dyDescent="0.6">
      <c r="B431" s="1188" t="s">
        <v>2108</v>
      </c>
      <c r="G431" s="953"/>
      <c r="H431" s="953"/>
      <c r="I431" s="953"/>
      <c r="J431" s="953"/>
      <c r="K431" s="953"/>
      <c r="L431" s="953"/>
      <c r="M431" s="953"/>
      <c r="N431" s="1089"/>
      <c r="O431" s="1089"/>
      <c r="P431" s="1089"/>
      <c r="Q431" s="97"/>
      <c r="R431" s="1090">
        <v>6300</v>
      </c>
      <c r="S431" s="1090">
        <v>7200</v>
      </c>
      <c r="T431" s="1090">
        <v>8600</v>
      </c>
      <c r="U431" s="1090">
        <v>9000</v>
      </c>
      <c r="W431" s="1090">
        <v>10600</v>
      </c>
      <c r="X431" s="1090"/>
      <c r="Y431" s="493"/>
      <c r="Z431" s="493"/>
    </row>
    <row r="432" spans="2:26" x14ac:dyDescent="0.6">
      <c r="B432" s="1188" t="s">
        <v>2109</v>
      </c>
      <c r="G432" s="953"/>
      <c r="H432" s="953"/>
      <c r="I432" s="953"/>
      <c r="J432" s="953"/>
      <c r="K432" s="953"/>
      <c r="L432" s="953"/>
      <c r="M432" s="953"/>
      <c r="N432" s="1089"/>
      <c r="O432" s="1089"/>
      <c r="P432" s="1089"/>
      <c r="Q432" s="97"/>
      <c r="R432" s="953">
        <f t="shared" ref="R432:U432" si="146">R430-R431</f>
        <v>0</v>
      </c>
      <c r="S432" s="953">
        <f t="shared" si="146"/>
        <v>100</v>
      </c>
      <c r="T432" s="953">
        <f t="shared" si="146"/>
        <v>300</v>
      </c>
      <c r="U432" s="953">
        <f t="shared" si="146"/>
        <v>1000</v>
      </c>
      <c r="W432" s="953">
        <f>W430-W431</f>
        <v>1700</v>
      </c>
      <c r="X432" s="953"/>
      <c r="Y432" s="493"/>
      <c r="Z432" s="493"/>
    </row>
    <row r="433" spans="2:28" x14ac:dyDescent="0.6">
      <c r="B433" s="167" t="s">
        <v>1627</v>
      </c>
      <c r="G433" s="953"/>
      <c r="H433" s="953"/>
      <c r="I433" s="953"/>
      <c r="J433" s="953"/>
      <c r="K433" s="953"/>
      <c r="L433" s="953"/>
      <c r="M433" s="953"/>
      <c r="N433" s="953">
        <f>N430/N50</f>
        <v>975.39747447084653</v>
      </c>
      <c r="O433" s="953">
        <f>O430/O50</f>
        <v>876.78512122218524</v>
      </c>
      <c r="P433" s="953">
        <f>P430/P50</f>
        <v>950.57034220532319</v>
      </c>
      <c r="Q433" s="97"/>
      <c r="R433" s="953">
        <f>R430/R50</f>
        <v>1213.8728323699422</v>
      </c>
      <c r="S433" s="953">
        <f>S430/S50</f>
        <v>1474.7474747474746</v>
      </c>
      <c r="T433" s="953">
        <f>T430/T50</f>
        <v>1820.0408997955012</v>
      </c>
      <c r="U433" s="953">
        <f>U430/U50</f>
        <v>2020.2020202020201</v>
      </c>
      <c r="W433" s="953">
        <f>W430/W50</f>
        <v>2479.8387096774195</v>
      </c>
      <c r="X433" s="953"/>
      <c r="Y433" s="493"/>
      <c r="Z433" s="493"/>
    </row>
    <row r="434" spans="2:28" x14ac:dyDescent="0.6">
      <c r="B434" s="167"/>
      <c r="G434" s="953"/>
      <c r="H434" s="953"/>
      <c r="I434" s="953"/>
      <c r="J434" s="953"/>
      <c r="K434" s="953"/>
      <c r="L434" s="953"/>
      <c r="M434" s="953"/>
      <c r="N434" s="953"/>
      <c r="O434" s="953"/>
      <c r="P434" s="953"/>
      <c r="Q434" s="97"/>
      <c r="R434" s="97"/>
      <c r="S434" s="97"/>
      <c r="T434" s="97"/>
      <c r="U434" s="97"/>
      <c r="W434" s="97"/>
      <c r="X434" s="97"/>
      <c r="Y434" s="493"/>
      <c r="Z434" s="493"/>
    </row>
    <row r="435" spans="2:28" x14ac:dyDescent="0.6">
      <c r="B435" t="s">
        <v>1051</v>
      </c>
      <c r="G435" s="953"/>
      <c r="H435" s="953"/>
      <c r="I435" s="953"/>
      <c r="J435" s="953"/>
      <c r="K435" s="971">
        <f>K425/G425-1</f>
        <v>0.17012653071301598</v>
      </c>
      <c r="L435" s="953"/>
      <c r="M435" s="971">
        <f t="shared" ref="M435:P437" si="147">M425/H425-1</f>
        <v>2.4038911502354576</v>
      </c>
      <c r="N435" s="971">
        <f t="shared" si="147"/>
        <v>0.54493524979525021</v>
      </c>
      <c r="O435" s="971">
        <f t="shared" si="147"/>
        <v>0.75632334742353291</v>
      </c>
      <c r="P435" s="971">
        <f t="shared" si="147"/>
        <v>0.62654866076566851</v>
      </c>
      <c r="Q435" s="97"/>
      <c r="R435" s="97"/>
      <c r="S435" s="97"/>
      <c r="T435" s="97"/>
      <c r="U435" s="97"/>
      <c r="W435" s="97" t="e">
        <f>W425/#REF!-1</f>
        <v>#REF!</v>
      </c>
      <c r="X435" s="97"/>
      <c r="Y435" s="971" t="e">
        <f>Y425/#REF!-1</f>
        <v>#REF!</v>
      </c>
      <c r="Z435" s="971" t="e">
        <f>Z425/#REF!-1</f>
        <v>#REF!</v>
      </c>
    </row>
    <row r="436" spans="2:28" x14ac:dyDescent="0.6">
      <c r="B436" s="167" t="s">
        <v>1035</v>
      </c>
      <c r="G436" s="953"/>
      <c r="H436" s="953"/>
      <c r="I436" s="953"/>
      <c r="J436" s="953"/>
      <c r="K436" s="971">
        <f>K426/G426-1</f>
        <v>2.4336726744648596E-2</v>
      </c>
      <c r="L436" s="953"/>
      <c r="M436" s="971">
        <f t="shared" si="147"/>
        <v>1.8961881700902414</v>
      </c>
      <c r="N436" s="971">
        <f t="shared" si="147"/>
        <v>0.39138131164798096</v>
      </c>
      <c r="O436" s="971">
        <f t="shared" si="147"/>
        <v>0.70396119917130817</v>
      </c>
      <c r="P436" s="971">
        <f t="shared" si="147"/>
        <v>0.7026567277972362</v>
      </c>
      <c r="Q436" s="97"/>
      <c r="R436" s="97"/>
      <c r="S436" s="97"/>
      <c r="T436" s="97"/>
      <c r="U436" s="97"/>
      <c r="W436" s="97" t="e">
        <f>W426/#REF!-1</f>
        <v>#REF!</v>
      </c>
      <c r="X436" s="97"/>
      <c r="Y436" s="971" t="e">
        <f>Y426/#REF!-1</f>
        <v>#REF!</v>
      </c>
      <c r="Z436" s="971" t="e">
        <f>Z426/#REF!-1</f>
        <v>#REF!</v>
      </c>
    </row>
    <row r="437" spans="2:28" x14ac:dyDescent="0.6">
      <c r="B437" s="167" t="s">
        <v>1034</v>
      </c>
      <c r="G437" s="953"/>
      <c r="H437" s="953"/>
      <c r="I437" s="953"/>
      <c r="J437" s="953"/>
      <c r="K437" s="971">
        <f>K427/G427-1</f>
        <v>1.4822347664283217</v>
      </c>
      <c r="L437" s="953"/>
      <c r="M437" s="971">
        <f t="shared" si="147"/>
        <v>7.405767550021384</v>
      </c>
      <c r="N437" s="971">
        <f t="shared" si="147"/>
        <v>11.635588905859175</v>
      </c>
      <c r="O437" s="971">
        <f t="shared" si="147"/>
        <v>8.2809517697700521</v>
      </c>
      <c r="P437" s="971">
        <f t="shared" si="147"/>
        <v>5.0672105505659104</v>
      </c>
      <c r="Q437" s="97"/>
      <c r="R437" s="97"/>
      <c r="S437" s="97"/>
      <c r="T437" s="97"/>
      <c r="U437" s="97"/>
      <c r="W437" s="97" t="e">
        <f>W427/#REF!-1</f>
        <v>#REF!</v>
      </c>
      <c r="X437" s="97"/>
      <c r="Y437" s="971" t="e">
        <f>Y427/#REF!-1</f>
        <v>#REF!</v>
      </c>
      <c r="Z437" s="971" t="e">
        <f>Z427/#REF!-1</f>
        <v>#REF!</v>
      </c>
    </row>
    <row r="438" spans="2:28" x14ac:dyDescent="0.6">
      <c r="B438" s="167"/>
      <c r="P438" s="493"/>
      <c r="Q438" s="97"/>
      <c r="R438" s="97"/>
      <c r="S438" s="97"/>
      <c r="T438" s="97"/>
      <c r="U438" s="97"/>
      <c r="W438" s="97"/>
      <c r="X438" s="97"/>
      <c r="Y438" s="493"/>
      <c r="Z438" s="493"/>
    </row>
    <row r="439" spans="2:28" x14ac:dyDescent="0.6">
      <c r="B439" s="167"/>
      <c r="P439" s="493"/>
      <c r="Q439" s="97"/>
      <c r="R439" s="97"/>
      <c r="S439" s="97"/>
      <c r="T439" s="97"/>
      <c r="U439" s="97"/>
      <c r="W439" s="97"/>
      <c r="X439" s="97"/>
      <c r="Y439" s="493"/>
      <c r="Z439" s="493"/>
    </row>
    <row r="441" spans="2:28" x14ac:dyDescent="0.6">
      <c r="B441" s="167" t="s">
        <v>1036</v>
      </c>
      <c r="G441" s="280">
        <f>(1-G442)</f>
        <v>0.9</v>
      </c>
      <c r="H441" s="280">
        <f>H397</f>
        <v>0.90785086389815095</v>
      </c>
      <c r="I441" s="280">
        <f>I397</f>
        <v>0.87347723872622351</v>
      </c>
      <c r="J441" s="280">
        <f>J397</f>
        <v>0.82868525896414347</v>
      </c>
      <c r="K441" s="280">
        <f>K397</f>
        <v>0.78786612376733534</v>
      </c>
      <c r="L441" s="280"/>
      <c r="M441" s="280">
        <f>M397</f>
        <v>0.77244154298123002</v>
      </c>
      <c r="N441" s="280">
        <f>N397</f>
        <v>0.78666073951941873</v>
      </c>
      <c r="O441" s="280">
        <f>O397</f>
        <v>0.80397924998921988</v>
      </c>
      <c r="P441" s="280">
        <f>P397</f>
        <v>0.82473127831571469</v>
      </c>
      <c r="R441" s="280">
        <f>R397</f>
        <v>0</v>
      </c>
      <c r="S441" s="280">
        <f>S397</f>
        <v>0</v>
      </c>
      <c r="T441" s="280">
        <f>T397</f>
        <v>0</v>
      </c>
      <c r="U441" s="280">
        <f>U397</f>
        <v>0</v>
      </c>
      <c r="W441" s="43" t="e">
        <f>(1-W442)</f>
        <v>#REF!</v>
      </c>
      <c r="Y441" s="280">
        <f>(1-Y442)</f>
        <v>0.99</v>
      </c>
      <c r="Z441" s="280">
        <f>(1-Z442)</f>
        <v>0.98</v>
      </c>
    </row>
    <row r="442" spans="2:28" x14ac:dyDescent="0.6">
      <c r="B442" s="167" t="s">
        <v>1037</v>
      </c>
      <c r="G442" s="531">
        <v>0.1</v>
      </c>
      <c r="H442" s="280">
        <f>H396</f>
        <v>9.214913610184905E-2</v>
      </c>
      <c r="I442" s="280">
        <f>I396</f>
        <v>0.12652276127377646</v>
      </c>
      <c r="J442" s="280">
        <f>J396</f>
        <v>0.17131474103585656</v>
      </c>
      <c r="K442" s="280">
        <f>K396</f>
        <v>0.21213387623266464</v>
      </c>
      <c r="L442" s="280"/>
      <c r="M442" s="280">
        <f>M396</f>
        <v>0.22755845701876998</v>
      </c>
      <c r="N442" s="280">
        <f>N396</f>
        <v>0.21333926048058127</v>
      </c>
      <c r="O442" s="280">
        <f>O396</f>
        <v>0.19602075001078009</v>
      </c>
      <c r="P442" s="280">
        <f>P396</f>
        <v>0.17526872168428534</v>
      </c>
      <c r="R442" s="280">
        <f>R396</f>
        <v>0</v>
      </c>
      <c r="S442" s="280">
        <f>S396</f>
        <v>0</v>
      </c>
      <c r="T442" s="280">
        <f>T396</f>
        <v>0</v>
      </c>
      <c r="U442" s="280">
        <f>U396</f>
        <v>0</v>
      </c>
      <c r="W442" s="43" t="e">
        <f>#REF!+1%</f>
        <v>#REF!</v>
      </c>
      <c r="Y442" s="531">
        <f>X442+1%</f>
        <v>0.01</v>
      </c>
      <c r="Z442" s="531">
        <f>Y442+1%</f>
        <v>0.02</v>
      </c>
    </row>
    <row r="445" spans="2:28" x14ac:dyDescent="0.6">
      <c r="B445" t="s">
        <v>1044</v>
      </c>
      <c r="H445" s="43">
        <f>SUM(H446:H447)</f>
        <v>123.27540983606561</v>
      </c>
      <c r="I445" s="43">
        <f>SUM(I446:I447)</f>
        <v>121.1581967213115</v>
      </c>
      <c r="J445" s="43">
        <f>SUM(J446:J447)</f>
        <v>180.14508196721312</v>
      </c>
      <c r="K445" s="43">
        <f>SUM(K446:K447)</f>
        <v>215.12950819672136</v>
      </c>
      <c r="M445" s="43">
        <f>SUM(M446:M447)</f>
        <v>281.71743688524595</v>
      </c>
      <c r="N445" s="43">
        <f>SUM(N446:N447)</f>
        <v>375.19018384661672</v>
      </c>
      <c r="O445" s="43">
        <f>SUM(O446:O447)</f>
        <v>378.88573318679119</v>
      </c>
      <c r="P445" s="43">
        <f>SUM(P446:P447)</f>
        <v>392.1258379833605</v>
      </c>
      <c r="R445" s="43">
        <f>SUM(R446:R447)</f>
        <v>461.73934426229522</v>
      </c>
      <c r="S445" s="43">
        <f>SUM(S446:S447)</f>
        <v>0</v>
      </c>
      <c r="T445" s="43">
        <f>SUM(T446:T447)</f>
        <v>0</v>
      </c>
      <c r="U445" s="43">
        <f>SUM(U446:U447)</f>
        <v>0</v>
      </c>
      <c r="AB445" s="423"/>
    </row>
    <row r="446" spans="2:28" x14ac:dyDescent="0.6">
      <c r="B446" s="167" t="s">
        <v>1035</v>
      </c>
      <c r="H446" s="43">
        <f t="shared" ref="H446:K447" si="148">H450*H421</f>
        <v>95.518032786885271</v>
      </c>
      <c r="I446" s="43">
        <f t="shared" si="148"/>
        <v>95.741803278688536</v>
      </c>
      <c r="J446" s="43">
        <f t="shared" si="148"/>
        <v>130.65</v>
      </c>
      <c r="K446" s="43">
        <f t="shared" si="148"/>
        <v>139.63278688524593</v>
      </c>
      <c r="M446" s="43">
        <f t="shared" ref="M446:P447" si="149">M450*M421</f>
        <v>165.30818114754101</v>
      </c>
      <c r="N446" s="43">
        <f t="shared" si="149"/>
        <v>217.83766475409837</v>
      </c>
      <c r="O446" s="43">
        <f t="shared" si="149"/>
        <v>229.39087131147545</v>
      </c>
      <c r="P446" s="43">
        <f t="shared" si="149"/>
        <v>249.73656393442624</v>
      </c>
      <c r="R446" s="43">
        <f t="shared" ref="R446:U447" si="150">R450*R421</f>
        <v>296.78360655737714</v>
      </c>
      <c r="S446" s="43">
        <f t="shared" si="150"/>
        <v>0</v>
      </c>
      <c r="T446" s="43">
        <f t="shared" si="150"/>
        <v>0</v>
      </c>
      <c r="U446" s="43">
        <f t="shared" si="150"/>
        <v>0</v>
      </c>
      <c r="AB446" s="423"/>
    </row>
    <row r="447" spans="2:28" x14ac:dyDescent="0.6">
      <c r="B447" s="167" t="s">
        <v>1034</v>
      </c>
      <c r="H447" s="43">
        <f t="shared" si="148"/>
        <v>27.757377049180334</v>
      </c>
      <c r="I447" s="43">
        <f t="shared" si="148"/>
        <v>25.416393442622955</v>
      </c>
      <c r="J447" s="43">
        <f t="shared" si="148"/>
        <v>49.495081967213125</v>
      </c>
      <c r="K447" s="43">
        <f t="shared" si="148"/>
        <v>75.496721311475412</v>
      </c>
      <c r="M447" s="43">
        <f t="shared" si="149"/>
        <v>116.40925573770494</v>
      </c>
      <c r="N447" s="43">
        <f t="shared" si="149"/>
        <v>157.35251909251838</v>
      </c>
      <c r="O447" s="43">
        <f t="shared" si="149"/>
        <v>149.49486187531571</v>
      </c>
      <c r="P447" s="43">
        <f t="shared" si="149"/>
        <v>142.38927404893425</v>
      </c>
      <c r="R447" s="43">
        <f t="shared" si="150"/>
        <v>164.95573770491808</v>
      </c>
      <c r="S447" s="43">
        <f t="shared" si="150"/>
        <v>0</v>
      </c>
      <c r="T447" s="43">
        <f t="shared" si="150"/>
        <v>0</v>
      </c>
      <c r="U447" s="43">
        <f t="shared" si="150"/>
        <v>0</v>
      </c>
    </row>
    <row r="448" spans="2:28" x14ac:dyDescent="0.6">
      <c r="B448" s="167"/>
    </row>
    <row r="449" spans="2:26" x14ac:dyDescent="0.6">
      <c r="B449" t="s">
        <v>921</v>
      </c>
    </row>
    <row r="450" spans="2:26" x14ac:dyDescent="0.6">
      <c r="B450" s="167" t="s">
        <v>180</v>
      </c>
      <c r="G450" s="110"/>
      <c r="H450" s="110">
        <v>6.5000000000000002E-2</v>
      </c>
      <c r="I450" s="110">
        <v>6.5000000000000002E-2</v>
      </c>
      <c r="J450" s="110">
        <v>6.5000000000000002E-2</v>
      </c>
      <c r="K450" s="110">
        <v>6.5000000000000002E-2</v>
      </c>
      <c r="M450" s="110">
        <v>6.5000000000000002E-2</v>
      </c>
      <c r="N450" s="110">
        <v>6.5000000000000002E-2</v>
      </c>
      <c r="O450" s="110">
        <v>6.5000000000000002E-2</v>
      </c>
      <c r="P450" s="110">
        <v>6.5000000000000002E-2</v>
      </c>
      <c r="R450" s="110">
        <v>6.5000000000000002E-2</v>
      </c>
      <c r="S450" s="110">
        <v>6.5000000000000002E-2</v>
      </c>
      <c r="T450" s="110">
        <v>6.5000000000000002E-2</v>
      </c>
      <c r="U450" s="110">
        <v>6.5000000000000002E-2</v>
      </c>
    </row>
    <row r="451" spans="2:26" x14ac:dyDescent="0.6">
      <c r="B451" s="167" t="s">
        <v>218</v>
      </c>
      <c r="G451" s="110"/>
      <c r="H451" s="110">
        <v>0.17</v>
      </c>
      <c r="I451" s="110">
        <v>0.17</v>
      </c>
      <c r="J451" s="110">
        <v>0.17</v>
      </c>
      <c r="K451" s="110">
        <v>0.17</v>
      </c>
      <c r="M451" s="110">
        <v>0.17</v>
      </c>
      <c r="N451" s="110">
        <v>0.17</v>
      </c>
      <c r="O451" s="110">
        <v>0.17</v>
      </c>
      <c r="P451" s="110">
        <v>0.17</v>
      </c>
      <c r="R451" s="110">
        <v>0.17</v>
      </c>
      <c r="S451" s="110">
        <v>0.17</v>
      </c>
      <c r="T451" s="110">
        <v>0.17</v>
      </c>
      <c r="U451" s="110">
        <v>0.17</v>
      </c>
    </row>
    <row r="453" spans="2:26" x14ac:dyDescent="0.6">
      <c r="B453" s="167" t="s">
        <v>1045</v>
      </c>
      <c r="H453" s="43">
        <f>H38</f>
        <v>-71.3</v>
      </c>
      <c r="I453" s="43">
        <f t="shared" ref="I453:M453" si="151">I38</f>
        <v>-82.7</v>
      </c>
      <c r="J453" s="43">
        <f t="shared" si="151"/>
        <v>-127</v>
      </c>
      <c r="K453" s="43">
        <f t="shared" si="151"/>
        <v>-199.63400000000001</v>
      </c>
      <c r="M453" s="43">
        <f t="shared" si="151"/>
        <v>-275.72199999999998</v>
      </c>
      <c r="N453" s="43">
        <f>N38</f>
        <v>-338.49200000000002</v>
      </c>
      <c r="O453" s="43">
        <f>O38</f>
        <v>-375.5</v>
      </c>
      <c r="P453" s="43">
        <f>P38</f>
        <v>-415.18600000000015</v>
      </c>
      <c r="R453" s="43">
        <f t="shared" ref="R453" si="152">R38</f>
        <v>-474</v>
      </c>
      <c r="S453" s="43">
        <f>S38</f>
        <v>-590.4</v>
      </c>
      <c r="T453" s="43">
        <f>T38</f>
        <v>-627</v>
      </c>
      <c r="U453" s="43">
        <f>U38</f>
        <v>-593</v>
      </c>
      <c r="W453" s="43">
        <f>W38</f>
        <v>-831</v>
      </c>
      <c r="Y453" s="43">
        <f>Y38</f>
        <v>-874.27910095514449</v>
      </c>
      <c r="Z453" s="43">
        <f>Z38</f>
        <v>-932.48689904485514</v>
      </c>
    </row>
    <row r="454" spans="2:26" x14ac:dyDescent="0.6">
      <c r="B454" s="200" t="s">
        <v>10</v>
      </c>
      <c r="H454" s="280">
        <f>H453/H$6</f>
        <v>-0.2910204081632653</v>
      </c>
      <c r="I454" s="280">
        <f>I453/I$6</f>
        <v>-0.24605772091639391</v>
      </c>
      <c r="J454" s="280">
        <f>J453/J$6</f>
        <v>-0.26408816801829904</v>
      </c>
      <c r="K454" s="280">
        <f>K453/K$6</f>
        <v>-0.31391955215900869</v>
      </c>
      <c r="M454" s="280">
        <f>M453/M$6</f>
        <v>-0.31429655965629616</v>
      </c>
      <c r="N454" s="280">
        <f>N453/N$6</f>
        <v>-0.29241828292418282</v>
      </c>
      <c r="O454" s="280">
        <f>O453/O$6</f>
        <v>-0.28732114163287165</v>
      </c>
      <c r="P454" s="280">
        <f>P453/P$6</f>
        <v>-0.28628146995873888</v>
      </c>
      <c r="R454" s="280">
        <f>R453/R$6</f>
        <v>-0.29287208657150593</v>
      </c>
      <c r="S454" s="280">
        <f>S453/S$6</f>
        <v>-0.31595847158300333</v>
      </c>
      <c r="T454" s="280">
        <f>T453/T$6</f>
        <v>-0.29343519481382546</v>
      </c>
      <c r="U454" s="280">
        <f>U453/U$6</f>
        <v>-0.24606830158927756</v>
      </c>
      <c r="W454" s="43">
        <f>W453/W$6</f>
        <v>-0.30372807017543857</v>
      </c>
      <c r="Y454" s="280">
        <f>Y453/Y$6</f>
        <v>-0.28000000000000003</v>
      </c>
      <c r="Z454" s="280">
        <f>Z453/Z$6</f>
        <v>-0.28687178257180973</v>
      </c>
    </row>
  </sheetData>
  <mergeCells count="1">
    <mergeCell ref="B405:B409"/>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441FDF-0B69-461A-B89F-FFD7CFAFF000}">
  <dimension ref="B1:AY1578"/>
  <sheetViews>
    <sheetView showGridLines="0" topLeftCell="A1457" zoomScale="68" zoomScaleNormal="85" workbookViewId="0">
      <selection activeCell="G1458" sqref="G1458"/>
    </sheetView>
  </sheetViews>
  <sheetFormatPr defaultColWidth="8.69921875" defaultRowHeight="15.3" outlineLevelRow="1" x14ac:dyDescent="0.55000000000000004"/>
  <cols>
    <col min="1" max="1" width="8.69921875" style="567"/>
    <col min="2" max="2" width="30.94921875" style="552" customWidth="1"/>
    <col min="3" max="6" width="8.59765625" style="552" customWidth="1"/>
    <col min="7" max="12" width="8.59765625" style="567" customWidth="1"/>
    <col min="13" max="13" width="9.5" style="567" customWidth="1"/>
    <col min="14" max="17" width="8.69921875" style="567" customWidth="1"/>
    <col min="18" max="19" width="8.19921875" style="567" customWidth="1"/>
    <col min="20" max="20" width="7.69921875" style="554" customWidth="1"/>
    <col min="21" max="25" width="8.19921875" style="554" customWidth="1"/>
    <col min="26" max="26" width="8.69921875" style="554"/>
    <col min="27" max="31" width="8.19921875" style="554" customWidth="1"/>
    <col min="32" max="32" width="8.5" style="554" bestFit="1" customWidth="1"/>
    <col min="33" max="50" width="8.69921875" style="554"/>
    <col min="51" max="16384" width="8.69921875" style="567"/>
  </cols>
  <sheetData>
    <row r="1" spans="2:19" s="555" customFormat="1" x14ac:dyDescent="0.55000000000000004">
      <c r="B1" s="552" t="s">
        <v>135</v>
      </c>
      <c r="C1" s="552">
        <v>2018</v>
      </c>
      <c r="D1" s="552">
        <v>2019</v>
      </c>
      <c r="E1" s="552">
        <v>2020</v>
      </c>
      <c r="F1" s="553" t="s">
        <v>251</v>
      </c>
      <c r="G1" s="553">
        <v>2022</v>
      </c>
      <c r="H1" s="553">
        <v>2023</v>
      </c>
      <c r="I1" s="553">
        <v>2024</v>
      </c>
      <c r="J1" s="553">
        <v>2025</v>
      </c>
      <c r="K1" s="553">
        <v>2026</v>
      </c>
      <c r="L1" s="553">
        <v>2027</v>
      </c>
      <c r="M1" s="553">
        <v>2028</v>
      </c>
      <c r="N1" s="553">
        <v>2029</v>
      </c>
      <c r="O1" s="553">
        <v>2030</v>
      </c>
      <c r="P1" s="554"/>
      <c r="Q1" s="554"/>
      <c r="R1" s="554"/>
      <c r="S1" s="554"/>
    </row>
    <row r="2" spans="2:19" s="554" customFormat="1" x14ac:dyDescent="0.55000000000000004">
      <c r="B2" s="556" t="s">
        <v>136</v>
      </c>
      <c r="C2" s="557" t="s">
        <v>7</v>
      </c>
      <c r="D2" s="557" t="s">
        <v>7</v>
      </c>
      <c r="E2" s="557" t="s">
        <v>7</v>
      </c>
      <c r="F2" s="557" t="s">
        <v>7</v>
      </c>
      <c r="G2" s="557" t="s">
        <v>8</v>
      </c>
      <c r="H2" s="557" t="s">
        <v>8</v>
      </c>
      <c r="I2" s="557" t="s">
        <v>8</v>
      </c>
      <c r="J2" s="557" t="s">
        <v>8</v>
      </c>
      <c r="K2" s="557" t="s">
        <v>8</v>
      </c>
      <c r="L2" s="557" t="s">
        <v>8</v>
      </c>
      <c r="M2" s="557" t="s">
        <v>8</v>
      </c>
      <c r="N2" s="557" t="s">
        <v>8</v>
      </c>
      <c r="O2" s="557" t="s">
        <v>8</v>
      </c>
    </row>
    <row r="3" spans="2:19" s="554" customFormat="1" x14ac:dyDescent="0.55000000000000004">
      <c r="B3" s="556" t="s">
        <v>9</v>
      </c>
    </row>
    <row r="4" spans="2:19" s="560" customFormat="1" ht="15.6" thickBot="1" x14ac:dyDescent="0.6">
      <c r="B4" s="558" t="s">
        <v>133</v>
      </c>
      <c r="C4" s="559">
        <f t="shared" ref="C4:O4" si="0">SUM(C5:C9)</f>
        <v>318.90000000000003</v>
      </c>
      <c r="D4" s="559">
        <f t="shared" si="0"/>
        <v>620.70000000000005</v>
      </c>
      <c r="E4" s="559">
        <f t="shared" si="0"/>
        <v>775.99999999999989</v>
      </c>
      <c r="F4" s="559">
        <f t="shared" si="0"/>
        <v>1062.0999999999999</v>
      </c>
      <c r="G4" s="559">
        <f t="shared" si="0"/>
        <v>0</v>
      </c>
      <c r="H4" s="559">
        <f t="shared" si="0"/>
        <v>0.53356557762922519</v>
      </c>
      <c r="I4" s="559">
        <f t="shared" si="0"/>
        <v>0</v>
      </c>
      <c r="J4" s="559">
        <f t="shared" si="0"/>
        <v>0</v>
      </c>
      <c r="K4" s="559">
        <f t="shared" si="0"/>
        <v>0</v>
      </c>
      <c r="L4" s="559">
        <f t="shared" si="0"/>
        <v>0</v>
      </c>
      <c r="M4" s="559">
        <f t="shared" si="0"/>
        <v>0</v>
      </c>
      <c r="N4" s="559">
        <f t="shared" si="0"/>
        <v>0</v>
      </c>
      <c r="O4" s="559">
        <f t="shared" si="0"/>
        <v>0</v>
      </c>
    </row>
    <row r="5" spans="2:19" s="563" customFormat="1" ht="14.1" x14ac:dyDescent="0.5">
      <c r="B5" s="561" t="s">
        <v>158</v>
      </c>
      <c r="C5" s="562">
        <v>128.5</v>
      </c>
      <c r="D5" s="562">
        <v>214.6</v>
      </c>
      <c r="E5" s="562">
        <v>217.5</v>
      </c>
      <c r="F5" s="562">
        <v>245.2</v>
      </c>
      <c r="H5" s="563">
        <f>(F5+F8)/F4</f>
        <v>0.53356557762922519</v>
      </c>
    </row>
    <row r="6" spans="2:19" s="563" customFormat="1" ht="14.1" x14ac:dyDescent="0.5">
      <c r="B6" s="561" t="s">
        <v>159</v>
      </c>
      <c r="C6" s="562">
        <v>0</v>
      </c>
      <c r="D6" s="562">
        <v>8.6</v>
      </c>
      <c r="E6" s="562">
        <v>38.9</v>
      </c>
      <c r="F6" s="562">
        <v>161.19999999999999</v>
      </c>
    </row>
    <row r="7" spans="2:19" s="563" customFormat="1" ht="14.1" x14ac:dyDescent="0.5">
      <c r="B7" s="561" t="s">
        <v>333</v>
      </c>
      <c r="C7" s="562">
        <v>33.099999999999994</v>
      </c>
      <c r="D7" s="562">
        <v>123.29999999999998</v>
      </c>
      <c r="E7" s="562">
        <v>165.39999999999998</v>
      </c>
      <c r="F7" s="562">
        <f>607.2-F5-F6</f>
        <v>200.80000000000007</v>
      </c>
    </row>
    <row r="8" spans="2:19" s="563" customFormat="1" ht="14.1" x14ac:dyDescent="0.5">
      <c r="B8" s="561" t="s">
        <v>162</v>
      </c>
      <c r="C8" s="562">
        <v>116.5</v>
      </c>
      <c r="D8" s="562">
        <v>203.9</v>
      </c>
      <c r="E8" s="562">
        <v>254.3</v>
      </c>
      <c r="F8" s="562">
        <v>321.5</v>
      </c>
      <c r="Q8" s="564"/>
    </row>
    <row r="9" spans="2:19" s="563" customFormat="1" ht="14.1" x14ac:dyDescent="0.5">
      <c r="B9" s="561" t="s">
        <v>232</v>
      </c>
      <c r="C9" s="562">
        <v>40.800000000000004</v>
      </c>
      <c r="D9" s="562">
        <v>70.300000000000011</v>
      </c>
      <c r="E9" s="562">
        <v>99.9</v>
      </c>
      <c r="F9" s="562">
        <f>454.9-F8</f>
        <v>133.39999999999998</v>
      </c>
      <c r="Q9" s="564"/>
    </row>
    <row r="10" spans="2:19" s="563" customFormat="1" ht="14.1" x14ac:dyDescent="0.5">
      <c r="B10" s="561"/>
      <c r="C10" s="562"/>
      <c r="D10" s="562"/>
      <c r="E10" s="562"/>
      <c r="F10" s="562"/>
      <c r="Q10" s="564"/>
    </row>
    <row r="11" spans="2:19" s="563" customFormat="1" ht="14.1" x14ac:dyDescent="0.5">
      <c r="B11" s="561" t="s">
        <v>159</v>
      </c>
      <c r="C11" s="562">
        <v>0</v>
      </c>
      <c r="D11" s="562">
        <v>8.6</v>
      </c>
      <c r="E11" s="562">
        <v>38.9</v>
      </c>
      <c r="F11" s="562">
        <v>161.19999999999999</v>
      </c>
      <c r="Q11" s="564"/>
    </row>
    <row r="12" spans="2:19" x14ac:dyDescent="0.55000000000000004">
      <c r="B12" s="565" t="s">
        <v>10</v>
      </c>
      <c r="C12" s="566">
        <f>C11/C4</f>
        <v>0</v>
      </c>
      <c r="D12" s="566">
        <f>D11/D4</f>
        <v>1.3855324633478329E-2</v>
      </c>
      <c r="E12" s="566">
        <f>E11/E4</f>
        <v>5.0128865979381446E-2</v>
      </c>
      <c r="F12" s="566">
        <f>F11/F4</f>
        <v>0.15177478580171358</v>
      </c>
    </row>
    <row r="14" spans="2:19" s="560" customFormat="1" ht="15.6" thickBot="1" x14ac:dyDescent="0.6">
      <c r="B14" s="558" t="s">
        <v>91</v>
      </c>
      <c r="C14" s="559">
        <f t="shared" ref="C14:O14" si="1">C15+C18+C23</f>
        <v>-207.2</v>
      </c>
      <c r="D14" s="559">
        <f t="shared" si="1"/>
        <v>-364.2</v>
      </c>
      <c r="E14" s="559">
        <f t="shared" si="1"/>
        <v>-410.2</v>
      </c>
      <c r="F14" s="559">
        <f t="shared" si="1"/>
        <v>0</v>
      </c>
      <c r="G14" s="559">
        <f t="shared" si="1"/>
        <v>0</v>
      </c>
      <c r="H14" s="559">
        <f t="shared" si="1"/>
        <v>0</v>
      </c>
      <c r="I14" s="559">
        <f t="shared" si="1"/>
        <v>0</v>
      </c>
      <c r="J14" s="559">
        <f t="shared" si="1"/>
        <v>0</v>
      </c>
      <c r="K14" s="559">
        <f t="shared" si="1"/>
        <v>0</v>
      </c>
      <c r="L14" s="559">
        <f t="shared" si="1"/>
        <v>0</v>
      </c>
      <c r="M14" s="559">
        <f t="shared" si="1"/>
        <v>0</v>
      </c>
      <c r="N14" s="559">
        <f t="shared" si="1"/>
        <v>0</v>
      </c>
      <c r="O14" s="559">
        <f t="shared" si="1"/>
        <v>0</v>
      </c>
    </row>
    <row r="15" spans="2:19" s="569" customFormat="1" ht="14.1" x14ac:dyDescent="0.5">
      <c r="B15" s="552" t="s">
        <v>89</v>
      </c>
      <c r="C15" s="568">
        <f t="shared" ref="C15:O15" si="2">C16+C17</f>
        <v>-45.4</v>
      </c>
      <c r="D15" s="568">
        <f t="shared" si="2"/>
        <v>-109.69999999999999</v>
      </c>
      <c r="E15" s="568">
        <f t="shared" si="2"/>
        <v>-113.9</v>
      </c>
      <c r="F15" s="568">
        <f t="shared" si="2"/>
        <v>0</v>
      </c>
      <c r="G15" s="568">
        <f t="shared" si="2"/>
        <v>0</v>
      </c>
      <c r="H15" s="568">
        <f t="shared" si="2"/>
        <v>0</v>
      </c>
      <c r="I15" s="568">
        <f t="shared" si="2"/>
        <v>0</v>
      </c>
      <c r="J15" s="568">
        <f t="shared" si="2"/>
        <v>0</v>
      </c>
      <c r="K15" s="568">
        <f t="shared" si="2"/>
        <v>0</v>
      </c>
      <c r="L15" s="568">
        <f t="shared" si="2"/>
        <v>0</v>
      </c>
      <c r="M15" s="568">
        <f t="shared" si="2"/>
        <v>0</v>
      </c>
      <c r="N15" s="568">
        <f t="shared" si="2"/>
        <v>0</v>
      </c>
      <c r="O15" s="568">
        <f t="shared" si="2"/>
        <v>0</v>
      </c>
    </row>
    <row r="16" spans="2:19" x14ac:dyDescent="0.55000000000000004">
      <c r="B16" s="570" t="s">
        <v>167</v>
      </c>
      <c r="C16" s="571">
        <v>-16.899999999999999</v>
      </c>
      <c r="D16" s="571">
        <v>-81.099999999999994</v>
      </c>
      <c r="E16" s="571">
        <v>-87.2</v>
      </c>
      <c r="F16" s="571"/>
    </row>
    <row r="17" spans="2:15" x14ac:dyDescent="0.55000000000000004">
      <c r="B17" s="570" t="s">
        <v>168</v>
      </c>
      <c r="C17" s="571">
        <v>-28.5</v>
      </c>
      <c r="D17" s="571">
        <v>-28.6</v>
      </c>
      <c r="E17" s="571">
        <v>-26.7</v>
      </c>
      <c r="F17" s="571"/>
    </row>
    <row r="18" spans="2:15" x14ac:dyDescent="0.55000000000000004">
      <c r="B18" s="552" t="s">
        <v>173</v>
      </c>
      <c r="C18" s="568">
        <f t="shared" ref="C18:O18" si="3">C19+C20+C21+C22</f>
        <v>-43.199999999999996</v>
      </c>
      <c r="D18" s="568">
        <f t="shared" si="3"/>
        <v>-79.3</v>
      </c>
      <c r="E18" s="568">
        <f t="shared" si="3"/>
        <v>-126.8</v>
      </c>
      <c r="F18" s="568">
        <f t="shared" si="3"/>
        <v>0</v>
      </c>
      <c r="G18" s="568">
        <f t="shared" si="3"/>
        <v>0</v>
      </c>
      <c r="H18" s="568">
        <f t="shared" si="3"/>
        <v>0</v>
      </c>
      <c r="I18" s="568">
        <f t="shared" si="3"/>
        <v>0</v>
      </c>
      <c r="J18" s="568">
        <f t="shared" si="3"/>
        <v>0</v>
      </c>
      <c r="K18" s="568">
        <f t="shared" si="3"/>
        <v>0</v>
      </c>
      <c r="L18" s="568">
        <f t="shared" si="3"/>
        <v>0</v>
      </c>
      <c r="M18" s="568">
        <f t="shared" si="3"/>
        <v>0</v>
      </c>
      <c r="N18" s="568">
        <f t="shared" si="3"/>
        <v>0</v>
      </c>
      <c r="O18" s="568">
        <f t="shared" si="3"/>
        <v>0</v>
      </c>
    </row>
    <row r="19" spans="2:15" x14ac:dyDescent="0.55000000000000004">
      <c r="B19" s="570" t="s">
        <v>169</v>
      </c>
      <c r="C19" s="571">
        <v>-18.2</v>
      </c>
      <c r="D19" s="571">
        <v>-31.5</v>
      </c>
      <c r="E19" s="571">
        <v>-46.5</v>
      </c>
      <c r="F19" s="571"/>
    </row>
    <row r="20" spans="2:15" x14ac:dyDescent="0.55000000000000004">
      <c r="B20" s="570" t="s">
        <v>170</v>
      </c>
      <c r="C20" s="571">
        <v>-10.3</v>
      </c>
      <c r="D20" s="571">
        <v>-21.5</v>
      </c>
      <c r="E20" s="571">
        <v>-29.6</v>
      </c>
      <c r="F20" s="571"/>
    </row>
    <row r="21" spans="2:15" x14ac:dyDescent="0.55000000000000004">
      <c r="B21" s="570" t="s">
        <v>171</v>
      </c>
      <c r="C21" s="571">
        <v>-10.3</v>
      </c>
      <c r="D21" s="571">
        <v>-14.7</v>
      </c>
      <c r="E21" s="571">
        <v>-25</v>
      </c>
      <c r="F21" s="571"/>
    </row>
    <row r="22" spans="2:15" x14ac:dyDescent="0.55000000000000004">
      <c r="B22" s="570" t="s">
        <v>172</v>
      </c>
      <c r="C22" s="571">
        <v>-4.4000000000000004</v>
      </c>
      <c r="D22" s="571">
        <v>-11.6</v>
      </c>
      <c r="E22" s="571">
        <v>-25.7</v>
      </c>
      <c r="F22" s="571"/>
    </row>
    <row r="23" spans="2:15" x14ac:dyDescent="0.55000000000000004">
      <c r="B23" s="552" t="s">
        <v>90</v>
      </c>
      <c r="C23" s="571">
        <v>-118.6</v>
      </c>
      <c r="D23" s="571">
        <v>-175.2</v>
      </c>
      <c r="E23" s="571">
        <v>-169.5</v>
      </c>
      <c r="F23" s="571"/>
    </row>
    <row r="24" spans="2:15" x14ac:dyDescent="0.55000000000000004">
      <c r="B24" s="567"/>
    </row>
    <row r="25" spans="2:15" x14ac:dyDescent="0.55000000000000004">
      <c r="B25" s="567"/>
    </row>
    <row r="44" spans="2:6" x14ac:dyDescent="0.55000000000000004">
      <c r="C44" s="552">
        <v>2018</v>
      </c>
      <c r="D44" s="552">
        <v>2019</v>
      </c>
      <c r="E44" s="552">
        <v>2020</v>
      </c>
      <c r="F44" s="552" t="s">
        <v>251</v>
      </c>
    </row>
    <row r="45" spans="2:6" x14ac:dyDescent="0.55000000000000004">
      <c r="B45" s="552" t="s">
        <v>312</v>
      </c>
      <c r="C45" s="572">
        <v>-7.3038551545756863E-2</v>
      </c>
      <c r="D45" s="572">
        <v>-6.1592547020565998E-2</v>
      </c>
      <c r="E45" s="572">
        <v>-5.4968218964846285E-2</v>
      </c>
      <c r="F45" s="572">
        <f>-281/1062</f>
        <v>-0.26459510357815441</v>
      </c>
    </row>
    <row r="46" spans="2:6" x14ac:dyDescent="0.55000000000000004">
      <c r="B46" s="552" t="s">
        <v>313</v>
      </c>
      <c r="C46" s="572">
        <v>-1.9197849921376655E-2</v>
      </c>
      <c r="D46" s="572">
        <v>-3.0751312628085867E-2</v>
      </c>
      <c r="E46" s="572">
        <v>-3.0077690689259633E-2</v>
      </c>
      <c r="F46" s="572"/>
    </row>
    <row r="52" spans="2:14" x14ac:dyDescent="0.55000000000000004">
      <c r="B52" s="552" t="s">
        <v>314</v>
      </c>
      <c r="C52" s="573">
        <v>0.86138473327790932</v>
      </c>
      <c r="D52" s="573">
        <v>0.71284860130865313</v>
      </c>
      <c r="E52" s="573">
        <v>0.51998887314299169</v>
      </c>
      <c r="F52" s="573"/>
    </row>
    <row r="53" spans="2:14" x14ac:dyDescent="0.55000000000000004">
      <c r="B53" s="552" t="s">
        <v>132</v>
      </c>
      <c r="C53" s="573">
        <f>'Revenue and Expenses breakdown'!B74</f>
        <v>0.41870506662861157</v>
      </c>
      <c r="D53" s="573">
        <f>'Revenue and Expenses breakdown'!C74</f>
        <v>0.81925299077850455</v>
      </c>
      <c r="E53" s="573">
        <f>'Revenue and Expenses breakdown'!D74</f>
        <v>0.76056448712463331</v>
      </c>
      <c r="F53" s="573"/>
    </row>
    <row r="61" spans="2:14" x14ac:dyDescent="0.55000000000000004">
      <c r="B61" s="574" t="s">
        <v>339</v>
      </c>
      <c r="C61" s="574">
        <f>Master!E1</f>
        <v>2020</v>
      </c>
      <c r="D61" s="574">
        <f>Master!F1</f>
        <v>2021</v>
      </c>
      <c r="E61" s="574">
        <f>Master!G1</f>
        <v>2022</v>
      </c>
      <c r="F61" s="574">
        <f>Master!H1</f>
        <v>2023</v>
      </c>
      <c r="G61" s="574">
        <f>Master!I1</f>
        <v>2024</v>
      </c>
      <c r="H61" s="574">
        <f>Master!J1</f>
        <v>2025</v>
      </c>
      <c r="I61" s="574">
        <f>Master!K1</f>
        <v>2026</v>
      </c>
      <c r="J61" s="574">
        <f>Master!L1</f>
        <v>2027</v>
      </c>
      <c r="K61" s="574">
        <f>Master!M1</f>
        <v>2028</v>
      </c>
      <c r="L61" s="574">
        <f>Master!N1</f>
        <v>2029</v>
      </c>
      <c r="M61" s="574">
        <f>Master!O1</f>
        <v>2030</v>
      </c>
      <c r="N61" s="574" t="s">
        <v>343</v>
      </c>
    </row>
    <row r="62" spans="2:14" x14ac:dyDescent="0.55000000000000004">
      <c r="B62" s="552" t="s">
        <v>342</v>
      </c>
      <c r="C62" s="568">
        <f>Master!E4</f>
        <v>737.1</v>
      </c>
      <c r="D62" s="568">
        <f>Master!F4</f>
        <v>1696.9561700000002</v>
      </c>
      <c r="E62" s="568">
        <f>Master!G4</f>
        <v>4790.1710000000003</v>
      </c>
      <c r="F62" s="568">
        <f>Master!H4</f>
        <v>8028</v>
      </c>
      <c r="G62" s="568">
        <f>Master!I4</f>
        <v>11957.660811218131</v>
      </c>
      <c r="H62" s="568">
        <f>Master!J4</f>
        <v>15243.865667997801</v>
      </c>
      <c r="I62" s="568">
        <f>Master!K4</f>
        <v>18710.883180114535</v>
      </c>
      <c r="J62" s="568">
        <f>Master!L4</f>
        <v>21834.967731681201</v>
      </c>
      <c r="K62" s="568">
        <f>Master!M4</f>
        <v>24595.326169498534</v>
      </c>
      <c r="L62" s="568">
        <f>Master!N4</f>
        <v>27227.728042218161</v>
      </c>
      <c r="M62" s="568">
        <f>Master!O4</f>
        <v>30428.892243091002</v>
      </c>
      <c r="N62" s="575">
        <f>(H62/D62)^(1/4)-1</f>
        <v>0.73123539222810319</v>
      </c>
    </row>
    <row r="63" spans="2:14" x14ac:dyDescent="0.55000000000000004">
      <c r="B63" s="552" t="s">
        <v>344</v>
      </c>
      <c r="D63" s="575">
        <f t="shared" ref="D63:M63" si="4">D62/C62-1</f>
        <v>1.3022061728395062</v>
      </c>
      <c r="E63" s="575">
        <f t="shared" si="4"/>
        <v>1.8228018405448858</v>
      </c>
      <c r="F63" s="575">
        <f t="shared" si="4"/>
        <v>0.67593181955299708</v>
      </c>
      <c r="G63" s="575">
        <f t="shared" si="4"/>
        <v>0.48949437110340455</v>
      </c>
      <c r="H63" s="575">
        <f t="shared" si="4"/>
        <v>0.27482004287132011</v>
      </c>
      <c r="I63" s="575">
        <f t="shared" si="4"/>
        <v>0.22743689741344375</v>
      </c>
      <c r="J63" s="575">
        <f t="shared" si="4"/>
        <v>0.16696617265436542</v>
      </c>
      <c r="K63" s="575">
        <f t="shared" si="4"/>
        <v>0.12641916726133839</v>
      </c>
      <c r="L63" s="575">
        <f t="shared" si="4"/>
        <v>0.10702854089343838</v>
      </c>
      <c r="M63" s="575">
        <f t="shared" si="4"/>
        <v>0.11757000789449834</v>
      </c>
    </row>
    <row r="65" spans="2:14" x14ac:dyDescent="0.55000000000000004">
      <c r="B65" s="552" t="s">
        <v>256</v>
      </c>
      <c r="C65" s="576">
        <v>5.15</v>
      </c>
      <c r="D65" s="577">
        <v>5.4</v>
      </c>
      <c r="E65" s="577">
        <v>5.6</v>
      </c>
      <c r="F65" s="578">
        <f t="shared" ref="F65:M65" si="5">E65</f>
        <v>5.6</v>
      </c>
      <c r="G65" s="578">
        <f t="shared" si="5"/>
        <v>5.6</v>
      </c>
      <c r="H65" s="578">
        <f t="shared" si="5"/>
        <v>5.6</v>
      </c>
      <c r="I65" s="578">
        <f t="shared" si="5"/>
        <v>5.6</v>
      </c>
      <c r="J65" s="578">
        <f t="shared" si="5"/>
        <v>5.6</v>
      </c>
      <c r="K65" s="578">
        <f t="shared" si="5"/>
        <v>5.6</v>
      </c>
      <c r="L65" s="578">
        <f t="shared" si="5"/>
        <v>5.6</v>
      </c>
      <c r="M65" s="578">
        <f t="shared" si="5"/>
        <v>5.6</v>
      </c>
    </row>
    <row r="66" spans="2:14" x14ac:dyDescent="0.55000000000000004">
      <c r="B66" s="552" t="s">
        <v>340</v>
      </c>
      <c r="C66" s="567">
        <v>1253.06558</v>
      </c>
      <c r="D66" s="567">
        <v>2801.4587249927654</v>
      </c>
      <c r="E66" s="567">
        <v>5362.2227468354959</v>
      </c>
      <c r="F66" s="567">
        <v>7709.7758626686209</v>
      </c>
      <c r="G66" s="567">
        <v>9134.678979837985</v>
      </c>
      <c r="H66" s="567">
        <v>10106.575662103258</v>
      </c>
      <c r="I66" s="567">
        <v>11161.165144187753</v>
      </c>
      <c r="J66" s="567">
        <v>11858.619775389783</v>
      </c>
      <c r="K66" s="567">
        <v>12598.411214276686</v>
      </c>
      <c r="L66" s="567">
        <v>13392.790578770695</v>
      </c>
      <c r="M66" s="567">
        <v>14246.587787636308</v>
      </c>
    </row>
    <row r="67" spans="2:14" x14ac:dyDescent="0.55000000000000004">
      <c r="B67" s="552" t="s">
        <v>341</v>
      </c>
      <c r="C67" s="567">
        <f t="shared" ref="C67:M67" si="6">C66/C65</f>
        <v>243.31370485436889</v>
      </c>
      <c r="D67" s="567">
        <f t="shared" si="6"/>
        <v>518.78865277643797</v>
      </c>
      <c r="E67" s="567">
        <f t="shared" si="6"/>
        <v>957.53977622062428</v>
      </c>
      <c r="F67" s="567">
        <f t="shared" si="6"/>
        <v>1376.7456897622537</v>
      </c>
      <c r="G67" s="567">
        <f t="shared" si="6"/>
        <v>1631.1926749710688</v>
      </c>
      <c r="H67" s="567">
        <f t="shared" si="6"/>
        <v>1804.7456539470104</v>
      </c>
      <c r="I67" s="567">
        <f t="shared" si="6"/>
        <v>1993.0652043192417</v>
      </c>
      <c r="J67" s="567">
        <f t="shared" si="6"/>
        <v>2117.6106741767471</v>
      </c>
      <c r="K67" s="567">
        <f t="shared" si="6"/>
        <v>2249.716288263694</v>
      </c>
      <c r="L67" s="567">
        <f t="shared" si="6"/>
        <v>2391.5697462090529</v>
      </c>
      <c r="M67" s="567">
        <f t="shared" si="6"/>
        <v>2544.0335335064838</v>
      </c>
      <c r="N67" s="575">
        <f>(H67/D67)^(1/4)-1</f>
        <v>0.36570337940934938</v>
      </c>
    </row>
    <row r="68" spans="2:14" x14ac:dyDescent="0.55000000000000004">
      <c r="B68" s="552" t="s">
        <v>344</v>
      </c>
      <c r="D68" s="575">
        <f t="shared" ref="D68:M68" si="7">D67/C67-1</f>
        <v>1.1321801543688208</v>
      </c>
      <c r="E68" s="575">
        <f t="shared" si="7"/>
        <v>0.84572228227446922</v>
      </c>
      <c r="F68" s="575">
        <f t="shared" si="7"/>
        <v>0.43779477777541564</v>
      </c>
      <c r="G68" s="575">
        <f t="shared" si="7"/>
        <v>0.18481770969099953</v>
      </c>
      <c r="H68" s="575">
        <f t="shared" si="7"/>
        <v>0.10639636974768774</v>
      </c>
      <c r="I68" s="575">
        <f t="shared" si="7"/>
        <v>0.10434686459023923</v>
      </c>
      <c r="J68" s="575">
        <f t="shared" si="7"/>
        <v>6.2489410576030524E-2</v>
      </c>
      <c r="K68" s="575">
        <f t="shared" si="7"/>
        <v>6.2384278516306901E-2</v>
      </c>
      <c r="L68" s="575">
        <f t="shared" si="7"/>
        <v>6.3053932038177107E-2</v>
      </c>
      <c r="M68" s="575">
        <f t="shared" si="7"/>
        <v>6.3750508442877551E-2</v>
      </c>
    </row>
    <row r="71" spans="2:14" x14ac:dyDescent="0.55000000000000004">
      <c r="B71" s="574" t="s">
        <v>377</v>
      </c>
      <c r="C71" s="579" t="s">
        <v>374</v>
      </c>
      <c r="D71" s="579" t="s">
        <v>375</v>
      </c>
      <c r="E71" s="579" t="s">
        <v>376</v>
      </c>
    </row>
    <row r="72" spans="2:14" x14ac:dyDescent="0.55000000000000004">
      <c r="B72" s="552" t="s">
        <v>132</v>
      </c>
      <c r="C72" s="575">
        <f>Quarts!AC6</f>
        <v>0.13373438223044909</v>
      </c>
      <c r="D72" s="575">
        <f>Quarts!AD6</f>
        <v>1.0708564386937769</v>
      </c>
      <c r="E72" s="575">
        <f>Quarts!AE6</f>
        <v>2.080717488789237</v>
      </c>
    </row>
    <row r="74" spans="2:14" x14ac:dyDescent="0.55000000000000004">
      <c r="B74" s="552" t="s">
        <v>389</v>
      </c>
    </row>
    <row r="76" spans="2:14" x14ac:dyDescent="0.55000000000000004">
      <c r="B76" s="574" t="s">
        <v>395</v>
      </c>
      <c r="C76" s="579" t="s">
        <v>376</v>
      </c>
    </row>
    <row r="77" spans="2:14" x14ac:dyDescent="0.55000000000000004">
      <c r="B77" s="552" t="s">
        <v>396</v>
      </c>
      <c r="C77" s="580">
        <f>2053/12</f>
        <v>171.08333333333334</v>
      </c>
    </row>
    <row r="78" spans="2:14" x14ac:dyDescent="0.55000000000000004">
      <c r="B78" s="552" t="s">
        <v>132</v>
      </c>
      <c r="C78" s="580">
        <f>Quarts!J214</f>
        <v>25.768871113017799</v>
      </c>
    </row>
    <row r="79" spans="2:14" x14ac:dyDescent="0.55000000000000004">
      <c r="B79" s="552" t="s">
        <v>392</v>
      </c>
      <c r="C79" s="580">
        <v>21</v>
      </c>
    </row>
    <row r="80" spans="2:14" x14ac:dyDescent="0.55000000000000004">
      <c r="B80" s="552" t="s">
        <v>394</v>
      </c>
      <c r="C80" s="552">
        <v>6.4</v>
      </c>
    </row>
    <row r="81" spans="2:6" x14ac:dyDescent="0.55000000000000004">
      <c r="B81" s="552" t="s">
        <v>393</v>
      </c>
      <c r="C81" s="552">
        <v>6.3</v>
      </c>
    </row>
    <row r="96" spans="2:6" x14ac:dyDescent="0.55000000000000004">
      <c r="D96" s="552">
        <f>10%*Master!C193</f>
        <v>162.38</v>
      </c>
      <c r="E96" s="552">
        <f>R152/Master!D193</f>
        <v>0.11663376996231832</v>
      </c>
      <c r="F96" s="552">
        <f>S152/Master!E193</f>
        <v>0.20901371652514697</v>
      </c>
    </row>
    <row r="97" spans="2:51" x14ac:dyDescent="0.55000000000000004">
      <c r="G97" s="552"/>
      <c r="T97" s="567"/>
      <c r="AY97" s="554"/>
    </row>
    <row r="98" spans="2:51" x14ac:dyDescent="0.55000000000000004">
      <c r="G98" s="552"/>
      <c r="T98" s="567"/>
      <c r="AY98" s="554"/>
    </row>
    <row r="99" spans="2:51" x14ac:dyDescent="0.55000000000000004">
      <c r="G99" s="552"/>
      <c r="T99" s="567"/>
      <c r="AY99" s="554"/>
    </row>
    <row r="100" spans="2:51" x14ac:dyDescent="0.55000000000000004">
      <c r="G100" s="552"/>
      <c r="T100" s="567"/>
      <c r="AY100" s="554"/>
    </row>
    <row r="101" spans="2:51" x14ac:dyDescent="0.55000000000000004">
      <c r="G101" s="552"/>
      <c r="T101" s="567"/>
      <c r="AY101" s="554"/>
    </row>
    <row r="102" spans="2:51" x14ac:dyDescent="0.55000000000000004">
      <c r="G102" s="552"/>
      <c r="T102" s="567"/>
      <c r="AY102" s="554"/>
    </row>
    <row r="103" spans="2:51" x14ac:dyDescent="0.55000000000000004">
      <c r="G103" s="552"/>
      <c r="T103" s="567"/>
      <c r="AY103" s="554"/>
    </row>
    <row r="104" spans="2:51" x14ac:dyDescent="0.55000000000000004">
      <c r="G104" s="552"/>
      <c r="T104" s="567"/>
      <c r="AY104" s="554"/>
    </row>
    <row r="105" spans="2:51" x14ac:dyDescent="0.55000000000000004">
      <c r="G105" s="552"/>
      <c r="T105" s="567"/>
      <c r="AY105" s="554"/>
    </row>
    <row r="106" spans="2:51" x14ac:dyDescent="0.55000000000000004">
      <c r="G106" s="552"/>
      <c r="T106" s="567"/>
      <c r="AY106" s="554"/>
    </row>
    <row r="108" spans="2:51" x14ac:dyDescent="0.55000000000000004">
      <c r="AA108" s="581"/>
    </row>
    <row r="109" spans="2:51" x14ac:dyDescent="0.55000000000000004">
      <c r="B109" s="552" t="s">
        <v>401</v>
      </c>
      <c r="C109" s="552">
        <v>2009</v>
      </c>
      <c r="D109" s="582">
        <v>2010</v>
      </c>
      <c r="E109" s="552">
        <v>2011</v>
      </c>
      <c r="F109" s="582">
        <v>2012</v>
      </c>
      <c r="G109" s="552">
        <v>2013</v>
      </c>
      <c r="H109" s="582">
        <v>2014</v>
      </c>
      <c r="I109" s="552">
        <v>2015</v>
      </c>
      <c r="J109" s="582">
        <v>2016</v>
      </c>
      <c r="K109" s="552">
        <v>2017</v>
      </c>
      <c r="L109" s="582">
        <v>2018</v>
      </c>
      <c r="M109" s="552">
        <v>2019</v>
      </c>
      <c r="N109" s="582">
        <v>2020</v>
      </c>
      <c r="O109" s="552">
        <v>2021</v>
      </c>
      <c r="P109" s="573"/>
      <c r="AA109" s="581"/>
    </row>
    <row r="110" spans="2:51" x14ac:dyDescent="0.55000000000000004">
      <c r="B110" s="552" t="s">
        <v>402</v>
      </c>
      <c r="C110" s="575">
        <v>0.19400000000000001</v>
      </c>
      <c r="D110" s="583">
        <v>8.7800000000000003E-2</v>
      </c>
      <c r="E110" s="583">
        <v>0.26690000000000003</v>
      </c>
      <c r="F110" s="583">
        <v>0.245</v>
      </c>
      <c r="G110" s="583">
        <v>0.2099</v>
      </c>
      <c r="H110" s="583">
        <v>0.11</v>
      </c>
      <c r="I110" s="583">
        <v>6.0400000000000002E-2</v>
      </c>
      <c r="J110" s="583">
        <v>0.25</v>
      </c>
      <c r="K110" s="583">
        <v>0.2964</v>
      </c>
      <c r="L110" s="583">
        <v>0.28660000000000002</v>
      </c>
      <c r="M110" s="583">
        <v>0.27139999999999997</v>
      </c>
      <c r="N110" s="573">
        <v>0.252</v>
      </c>
      <c r="O110" s="573"/>
      <c r="P110" s="573"/>
      <c r="AA110" s="581"/>
    </row>
    <row r="111" spans="2:51" x14ac:dyDescent="0.55000000000000004">
      <c r="B111" s="552" t="s">
        <v>404</v>
      </c>
      <c r="F111" s="581">
        <v>0.49765798503160502</v>
      </c>
      <c r="G111" s="581">
        <v>0.86079301929473906</v>
      </c>
      <c r="H111" s="581">
        <v>0.81865223570289192</v>
      </c>
      <c r="I111" s="581">
        <v>0.505436019294211</v>
      </c>
      <c r="J111" s="581">
        <v>0.66002037342098796</v>
      </c>
      <c r="K111" s="581">
        <v>1.10035903296937</v>
      </c>
      <c r="L111" s="581">
        <v>1.5116587412167699</v>
      </c>
      <c r="M111" s="581">
        <v>2.0580437370142599</v>
      </c>
      <c r="N111" s="581">
        <v>2.4375236927837802</v>
      </c>
      <c r="AA111" s="581"/>
    </row>
    <row r="112" spans="2:51" x14ac:dyDescent="0.55000000000000004">
      <c r="AA112" s="581"/>
    </row>
    <row r="113" spans="2:50" x14ac:dyDescent="0.55000000000000004">
      <c r="B113" s="552" t="s">
        <v>319</v>
      </c>
      <c r="C113" s="552">
        <v>2018</v>
      </c>
      <c r="D113" s="552">
        <v>2019</v>
      </c>
      <c r="E113" s="552">
        <v>2020</v>
      </c>
      <c r="F113" s="553" t="s">
        <v>55</v>
      </c>
      <c r="S113" s="554"/>
      <c r="AA113" s="581"/>
      <c r="AX113" s="567"/>
    </row>
    <row r="114" spans="2:50" x14ac:dyDescent="0.55000000000000004">
      <c r="B114" s="584" t="s">
        <v>132</v>
      </c>
      <c r="C114" s="585">
        <v>5.0999999999999996</v>
      </c>
      <c r="D114" s="585">
        <v>12.1</v>
      </c>
      <c r="E114" s="585">
        <v>21.8</v>
      </c>
      <c r="F114" s="585">
        <v>35.299999999999997</v>
      </c>
      <c r="S114" s="554"/>
      <c r="AA114" s="581"/>
      <c r="AX114" s="567"/>
    </row>
    <row r="115" spans="2:50" x14ac:dyDescent="0.55000000000000004">
      <c r="B115" s="552" t="s">
        <v>401</v>
      </c>
      <c r="C115" s="552">
        <v>5.2</v>
      </c>
      <c r="D115" s="552">
        <v>7.2</v>
      </c>
      <c r="E115" s="552">
        <v>9.1</v>
      </c>
      <c r="F115" s="552">
        <v>12.8</v>
      </c>
      <c r="AA115" s="581"/>
    </row>
    <row r="116" spans="2:50" x14ac:dyDescent="0.55000000000000004">
      <c r="AA116" s="581"/>
    </row>
    <row r="117" spans="2:50" x14ac:dyDescent="0.55000000000000004">
      <c r="AA117" s="581"/>
    </row>
    <row r="118" spans="2:50" x14ac:dyDescent="0.55000000000000004">
      <c r="AA118" s="581"/>
    </row>
    <row r="129" spans="2:18" x14ac:dyDescent="0.55000000000000004">
      <c r="C129" s="552">
        <v>2020</v>
      </c>
      <c r="D129" s="552">
        <v>2025</v>
      </c>
    </row>
    <row r="130" spans="2:18" x14ac:dyDescent="0.55000000000000004">
      <c r="B130" s="552" t="s">
        <v>418</v>
      </c>
      <c r="C130" s="567">
        <v>5.4</v>
      </c>
      <c r="D130" s="567">
        <v>2.2999999999999998</v>
      </c>
    </row>
    <row r="131" spans="2:18" x14ac:dyDescent="0.55000000000000004">
      <c r="B131" s="552" t="s">
        <v>419</v>
      </c>
      <c r="C131" s="567">
        <v>11.6</v>
      </c>
      <c r="D131" s="567">
        <v>15.3</v>
      </c>
    </row>
    <row r="132" spans="2:18" x14ac:dyDescent="0.55000000000000004">
      <c r="B132" s="552" t="s">
        <v>420</v>
      </c>
      <c r="C132" s="567">
        <v>7</v>
      </c>
      <c r="D132" s="567">
        <v>8.1</v>
      </c>
    </row>
    <row r="133" spans="2:18" x14ac:dyDescent="0.55000000000000004">
      <c r="B133" s="552" t="s">
        <v>218</v>
      </c>
      <c r="C133" s="567">
        <v>14.7</v>
      </c>
      <c r="D133" s="567">
        <v>20</v>
      </c>
    </row>
    <row r="134" spans="2:18" x14ac:dyDescent="0.55000000000000004">
      <c r="B134" s="552" t="s">
        <v>345</v>
      </c>
      <c r="C134" s="567">
        <v>10.9</v>
      </c>
      <c r="D134" s="567">
        <v>15.3</v>
      </c>
    </row>
    <row r="135" spans="2:18" x14ac:dyDescent="0.55000000000000004">
      <c r="B135" s="552" t="s">
        <v>427</v>
      </c>
      <c r="C135" s="567">
        <v>9</v>
      </c>
      <c r="D135" s="567">
        <v>21</v>
      </c>
    </row>
    <row r="136" spans="2:18" x14ac:dyDescent="0.55000000000000004">
      <c r="B136" s="552" t="s">
        <v>428</v>
      </c>
      <c r="C136" s="567">
        <v>7</v>
      </c>
      <c r="D136" s="567">
        <v>10</v>
      </c>
    </row>
    <row r="143" spans="2:18" x14ac:dyDescent="0.55000000000000004">
      <c r="P143" s="552"/>
      <c r="Q143" s="552">
        <v>2020</v>
      </c>
      <c r="R143" s="586" t="s">
        <v>251</v>
      </c>
    </row>
    <row r="144" spans="2:18" ht="15.6" thickBot="1" x14ac:dyDescent="0.6">
      <c r="P144" s="587" t="s">
        <v>180</v>
      </c>
      <c r="Q144" s="588">
        <f>R156</f>
        <v>0.64679582712369599</v>
      </c>
      <c r="R144" s="588">
        <f>S156</f>
        <v>0.70025008931761346</v>
      </c>
    </row>
    <row r="145" spans="2:20" ht="15.6" thickBot="1" x14ac:dyDescent="0.6">
      <c r="C145" s="589">
        <v>2019</v>
      </c>
      <c r="D145" s="589">
        <v>2020</v>
      </c>
      <c r="E145" s="590" t="s">
        <v>429</v>
      </c>
      <c r="P145" s="591" t="s">
        <v>218</v>
      </c>
      <c r="Q145" s="566">
        <f>R159</f>
        <v>0.33476394849785407</v>
      </c>
      <c r="R145" s="566">
        <f>S159</f>
        <v>0.44398483281627027</v>
      </c>
    </row>
    <row r="146" spans="2:20" x14ac:dyDescent="0.55000000000000004">
      <c r="B146" s="552" t="s">
        <v>132</v>
      </c>
      <c r="C146" s="552">
        <v>12.1</v>
      </c>
      <c r="D146" s="552">
        <v>21.8</v>
      </c>
      <c r="E146" s="552">
        <v>35.299999999999997</v>
      </c>
    </row>
    <row r="147" spans="2:20" x14ac:dyDescent="0.55000000000000004">
      <c r="B147" s="552" t="s">
        <v>314</v>
      </c>
      <c r="C147" s="552">
        <v>2.2000000000000002</v>
      </c>
      <c r="D147" s="552">
        <v>4.8</v>
      </c>
      <c r="E147" s="552">
        <v>7.9</v>
      </c>
    </row>
    <row r="148" spans="2:20" x14ac:dyDescent="0.55000000000000004">
      <c r="B148" s="552" t="s">
        <v>430</v>
      </c>
      <c r="C148" s="552">
        <v>3.1</v>
      </c>
      <c r="D148" s="552">
        <v>16.2</v>
      </c>
      <c r="E148" s="552">
        <v>28</v>
      </c>
    </row>
    <row r="149" spans="2:20" x14ac:dyDescent="0.55000000000000004">
      <c r="B149" s="552" t="s">
        <v>431</v>
      </c>
      <c r="C149" s="552">
        <v>7.9</v>
      </c>
      <c r="D149" s="552">
        <v>14.2</v>
      </c>
      <c r="E149" s="552">
        <v>16.8</v>
      </c>
      <c r="P149" s="592"/>
      <c r="Q149" s="592">
        <v>2019</v>
      </c>
      <c r="R149" s="592">
        <v>2020</v>
      </c>
      <c r="S149" s="593" t="s">
        <v>251</v>
      </c>
    </row>
    <row r="150" spans="2:20" x14ac:dyDescent="0.55000000000000004">
      <c r="B150" s="552" t="s">
        <v>432</v>
      </c>
      <c r="C150" s="552">
        <v>2</v>
      </c>
      <c r="D150" s="552">
        <v>8</v>
      </c>
      <c r="E150" s="552">
        <v>11.2</v>
      </c>
      <c r="P150" s="587" t="s">
        <v>421</v>
      </c>
      <c r="Q150" s="587">
        <v>404</v>
      </c>
      <c r="R150" s="587">
        <v>500</v>
      </c>
      <c r="S150" s="587">
        <v>1400</v>
      </c>
      <c r="T150" s="594">
        <f>S152/R165</f>
        <v>0.14969838729533425</v>
      </c>
    </row>
    <row r="151" spans="2:20" x14ac:dyDescent="0.55000000000000004">
      <c r="P151" s="595" t="s">
        <v>218</v>
      </c>
      <c r="Q151" s="563">
        <v>58</v>
      </c>
      <c r="R151" s="563">
        <v>175</v>
      </c>
      <c r="S151" s="563">
        <v>792</v>
      </c>
    </row>
    <row r="152" spans="2:20" x14ac:dyDescent="0.55000000000000004">
      <c r="B152" s="596"/>
      <c r="P152" s="597" t="s">
        <v>422</v>
      </c>
      <c r="Q152" s="587">
        <f>Q150-Q151</f>
        <v>346</v>
      </c>
      <c r="R152" s="587">
        <f>R150-R151</f>
        <v>325</v>
      </c>
      <c r="S152" s="587">
        <f>S150-S151</f>
        <v>608</v>
      </c>
    </row>
    <row r="153" spans="2:20" x14ac:dyDescent="0.55000000000000004">
      <c r="P153" s="563"/>
      <c r="Q153" s="563"/>
      <c r="R153" s="563"/>
      <c r="S153" s="563"/>
    </row>
    <row r="154" spans="2:20" x14ac:dyDescent="0.55000000000000004">
      <c r="P154" s="587" t="s">
        <v>423</v>
      </c>
      <c r="Q154" s="587"/>
      <c r="R154" s="587">
        <v>380</v>
      </c>
      <c r="S154" s="587">
        <v>600</v>
      </c>
    </row>
    <row r="155" spans="2:20" ht="15.6" thickBot="1" x14ac:dyDescent="0.6">
      <c r="P155" s="595" t="s">
        <v>424</v>
      </c>
      <c r="Q155" s="563">
        <v>8.6</v>
      </c>
      <c r="R155" s="563">
        <v>217</v>
      </c>
      <c r="S155" s="563">
        <v>245</v>
      </c>
    </row>
    <row r="156" spans="2:20" ht="15.6" thickBot="1" x14ac:dyDescent="0.6">
      <c r="P156" s="598" t="s">
        <v>425</v>
      </c>
      <c r="Q156" s="599"/>
      <c r="R156" s="600">
        <f>R155/AVERAGE(Q152,R152)</f>
        <v>0.64679582712369599</v>
      </c>
      <c r="S156" s="601">
        <f>S155/AVERAGE(R152,S152)*4/3</f>
        <v>0.70025008931761346</v>
      </c>
    </row>
    <row r="157" spans="2:20" x14ac:dyDescent="0.55000000000000004">
      <c r="P157" s="563"/>
      <c r="Q157" s="563"/>
      <c r="R157" s="563"/>
      <c r="S157" s="563"/>
    </row>
    <row r="158" spans="2:20" ht="15.6" thickBot="1" x14ac:dyDescent="0.6">
      <c r="P158" s="597" t="s">
        <v>426</v>
      </c>
      <c r="Q158" s="587"/>
      <c r="R158" s="587">
        <v>39</v>
      </c>
      <c r="S158" s="587">
        <v>161</v>
      </c>
    </row>
    <row r="159" spans="2:20" ht="15.6" thickBot="1" x14ac:dyDescent="0.6">
      <c r="P159" s="602" t="s">
        <v>425</v>
      </c>
      <c r="Q159" s="603"/>
      <c r="R159" s="604">
        <f>R158/AVERAGE(Q151,R151)</f>
        <v>0.33476394849785407</v>
      </c>
      <c r="S159" s="605">
        <f>S158/AVERAGE(R151,S151)*4/3</f>
        <v>0.44398483281627027</v>
      </c>
    </row>
    <row r="160" spans="2:20" ht="15.6" thickBot="1" x14ac:dyDescent="0.6"/>
    <row r="161" spans="16:21" ht="15.6" thickBot="1" x14ac:dyDescent="0.6">
      <c r="P161" s="602" t="s">
        <v>543</v>
      </c>
      <c r="Q161" s="603"/>
      <c r="R161" s="604">
        <f>(R155+R158)/AVERAGE(Q150,R150)</f>
        <v>0.5663716814159292</v>
      </c>
      <c r="S161" s="605">
        <f>(S155+S158)/AVERAGE(R150,S150)*4/3</f>
        <v>0.56982456140350879</v>
      </c>
    </row>
    <row r="163" spans="16:21" x14ac:dyDescent="0.55000000000000004">
      <c r="P163" s="606" t="s">
        <v>450</v>
      </c>
      <c r="Q163" s="606"/>
      <c r="R163" s="607" t="s">
        <v>132</v>
      </c>
    </row>
    <row r="164" spans="16:21" x14ac:dyDescent="0.55000000000000004">
      <c r="P164" s="608"/>
      <c r="Q164" s="609">
        <v>2020</v>
      </c>
      <c r="R164" s="609" t="s">
        <v>450</v>
      </c>
    </row>
    <row r="165" spans="16:21" x14ac:dyDescent="0.55000000000000004">
      <c r="P165" s="567" t="s">
        <v>106</v>
      </c>
      <c r="Q165" s="567">
        <f>H357</f>
        <v>2908.9</v>
      </c>
      <c r="R165" s="567">
        <f>E357</f>
        <v>4061.5</v>
      </c>
      <c r="T165" s="567">
        <v>3119</v>
      </c>
      <c r="U165" s="567">
        <v>4367.8999999999996</v>
      </c>
    </row>
    <row r="166" spans="16:21" x14ac:dyDescent="0.55000000000000004">
      <c r="P166" s="608" t="str">
        <f>P151</f>
        <v>Personal loans</v>
      </c>
      <c r="Q166" s="608">
        <f>H358</f>
        <v>174.7</v>
      </c>
      <c r="R166" s="608">
        <f>E358</f>
        <v>792.7</v>
      </c>
      <c r="T166" s="608">
        <v>200.9</v>
      </c>
      <c r="U166" s="608">
        <v>903</v>
      </c>
    </row>
    <row r="167" spans="16:21" x14ac:dyDescent="0.55000000000000004">
      <c r="P167" s="567" t="s">
        <v>353</v>
      </c>
      <c r="Q167" s="567">
        <f>Q165+Q166</f>
        <v>3083.6</v>
      </c>
      <c r="R167" s="567">
        <f>R165+R166</f>
        <v>4854.2</v>
      </c>
      <c r="T167" s="567">
        <f>T165+T166</f>
        <v>3319.9</v>
      </c>
      <c r="U167" s="567">
        <f>U165+U166</f>
        <v>5270.9</v>
      </c>
    </row>
    <row r="169" spans="16:21" x14ac:dyDescent="0.55000000000000004">
      <c r="P169" s="567" t="s">
        <v>414</v>
      </c>
    </row>
    <row r="170" spans="16:21" x14ac:dyDescent="0.55000000000000004">
      <c r="P170" s="567" t="s">
        <v>345</v>
      </c>
      <c r="R170" s="567">
        <f>S155</f>
        <v>245</v>
      </c>
    </row>
    <row r="171" spans="16:21" x14ac:dyDescent="0.55000000000000004">
      <c r="P171" s="608" t="s">
        <v>218</v>
      </c>
      <c r="Q171" s="608"/>
      <c r="R171" s="608">
        <f>S158</f>
        <v>161</v>
      </c>
    </row>
    <row r="172" spans="16:21" x14ac:dyDescent="0.55000000000000004">
      <c r="P172" s="567" t="s">
        <v>579</v>
      </c>
      <c r="R172" s="567">
        <f>R170+R171</f>
        <v>406</v>
      </c>
    </row>
    <row r="174" spans="16:21" x14ac:dyDescent="0.55000000000000004">
      <c r="P174" s="567" t="s">
        <v>580</v>
      </c>
      <c r="R174" s="567">
        <f>(Quarts!H7+Quarts!I7+Quarts!J7)-R172</f>
        <v>201.20000000000005</v>
      </c>
    </row>
    <row r="175" spans="16:21" x14ac:dyDescent="0.55000000000000004">
      <c r="P175" s="608" t="s">
        <v>355</v>
      </c>
      <c r="Q175" s="608"/>
      <c r="R175" s="608">
        <f>Quarts!H14+Quarts!I14+Quarts!J14</f>
        <v>454.79999999999995</v>
      </c>
    </row>
    <row r="176" spans="16:21" x14ac:dyDescent="0.55000000000000004">
      <c r="P176" s="567" t="s">
        <v>339</v>
      </c>
      <c r="R176" s="567">
        <f>R172+R174+R175</f>
        <v>1062</v>
      </c>
    </row>
    <row r="178" spans="2:18" x14ac:dyDescent="0.55000000000000004">
      <c r="B178" s="552" t="s">
        <v>434</v>
      </c>
      <c r="P178" s="610" t="s">
        <v>233</v>
      </c>
    </row>
    <row r="179" spans="2:18" x14ac:dyDescent="0.55000000000000004">
      <c r="P179" s="567" t="str">
        <f>P170</f>
        <v>Credit cards</v>
      </c>
      <c r="R179" s="611">
        <f>R170*4/3/(AVERAGE(T165,U165))</f>
        <v>8.7263531412645201E-2</v>
      </c>
    </row>
    <row r="180" spans="2:18" x14ac:dyDescent="0.55000000000000004">
      <c r="B180" s="574" t="s">
        <v>395</v>
      </c>
      <c r="C180" s="579" t="s">
        <v>441</v>
      </c>
      <c r="D180" s="579" t="s">
        <v>251</v>
      </c>
      <c r="P180" s="608" t="str">
        <f>P171</f>
        <v>Personal loans</v>
      </c>
      <c r="Q180" s="608"/>
      <c r="R180" s="612">
        <f>R171*4/3/(AVERAGE(T166,U166))</f>
        <v>0.38892411752272243</v>
      </c>
    </row>
    <row r="181" spans="2:18" x14ac:dyDescent="0.55000000000000004">
      <c r="B181" s="552" t="s">
        <v>132</v>
      </c>
      <c r="C181" s="580">
        <f>3.4*5.16</f>
        <v>17.544</v>
      </c>
      <c r="D181" s="580">
        <f>5*5.349</f>
        <v>26.745000000000001</v>
      </c>
      <c r="P181" s="567" t="s">
        <v>600</v>
      </c>
      <c r="R181" s="611">
        <f>R172*4/3/(AVERAGE(T167,U167))</f>
        <v>0.12602629169188748</v>
      </c>
    </row>
    <row r="182" spans="2:18" x14ac:dyDescent="0.55000000000000004">
      <c r="B182" s="552" t="s">
        <v>392</v>
      </c>
      <c r="C182" s="580">
        <v>23.19</v>
      </c>
      <c r="D182" s="580">
        <v>28.57</v>
      </c>
      <c r="P182" s="567" t="s">
        <v>580</v>
      </c>
      <c r="R182" s="611">
        <f>R174*4/3/(AVERAGE(Q167,R167))</f>
        <v>6.7592195990492765E-2</v>
      </c>
    </row>
    <row r="183" spans="2:18" x14ac:dyDescent="0.55000000000000004">
      <c r="B183" s="552" t="s">
        <v>394</v>
      </c>
      <c r="P183" s="608" t="s">
        <v>355</v>
      </c>
      <c r="Q183" s="608"/>
      <c r="R183" s="612">
        <f>R175*4/3/(AVERAGE(Q167,R167))</f>
        <v>0.15278792612562675</v>
      </c>
    </row>
    <row r="184" spans="2:18" x14ac:dyDescent="0.55000000000000004">
      <c r="B184" s="552" t="s">
        <v>393</v>
      </c>
      <c r="P184" s="567" t="s">
        <v>581</v>
      </c>
      <c r="R184" s="611">
        <f>R181+R182+R183</f>
        <v>0.34640641380800696</v>
      </c>
    </row>
    <row r="186" spans="2:18" x14ac:dyDescent="0.55000000000000004">
      <c r="P186" s="567" t="s">
        <v>561</v>
      </c>
      <c r="R186" s="567">
        <f>-(Quarts!H38+Quarts!I38+Quarts!J38)</f>
        <v>281</v>
      </c>
    </row>
    <row r="187" spans="2:18" x14ac:dyDescent="0.55000000000000004">
      <c r="P187" s="567" t="s">
        <v>233</v>
      </c>
      <c r="R187" s="611">
        <f>R186*4/3/(AVERAGE(Q167,R167))</f>
        <v>9.4400631577179248E-2</v>
      </c>
    </row>
    <row r="189" spans="2:18" x14ac:dyDescent="0.55000000000000004">
      <c r="P189" s="567" t="s">
        <v>47</v>
      </c>
      <c r="Q189" s="567">
        <v>5584</v>
      </c>
      <c r="R189" s="567">
        <v>8089</v>
      </c>
    </row>
    <row r="190" spans="2:18" x14ac:dyDescent="0.55000000000000004">
      <c r="B190" s="552" t="s">
        <v>435</v>
      </c>
      <c r="P190" s="567" t="s">
        <v>583</v>
      </c>
      <c r="R190" s="567">
        <f>-(Quarts!H25+Quarts!I25+Quarts!J25)</f>
        <v>190.3</v>
      </c>
    </row>
    <row r="191" spans="2:18" x14ac:dyDescent="0.55000000000000004">
      <c r="P191" s="567" t="s">
        <v>585</v>
      </c>
      <c r="R191" s="611">
        <f>R190*4/3/(AVERAGE(Q167,R167))</f>
        <v>6.3930392132160896E-2</v>
      </c>
    </row>
    <row r="192" spans="2:18" x14ac:dyDescent="0.55000000000000004">
      <c r="B192" s="574" t="s">
        <v>395</v>
      </c>
      <c r="C192" s="579" t="s">
        <v>251</v>
      </c>
    </row>
    <row r="193" spans="2:22" x14ac:dyDescent="0.55000000000000004">
      <c r="B193" s="613"/>
      <c r="C193" s="614"/>
      <c r="P193" s="606" t="s">
        <v>584</v>
      </c>
      <c r="Q193" s="606"/>
      <c r="R193" s="615">
        <f>R184-R187-R191</f>
        <v>0.18807539009866681</v>
      </c>
    </row>
    <row r="194" spans="2:22" x14ac:dyDescent="0.55000000000000004">
      <c r="B194" s="613"/>
      <c r="C194" s="614"/>
    </row>
    <row r="195" spans="2:22" x14ac:dyDescent="0.55000000000000004">
      <c r="B195" s="613"/>
      <c r="C195" s="614"/>
      <c r="P195" s="616" t="s">
        <v>450</v>
      </c>
      <c r="Q195" s="609" t="s">
        <v>588</v>
      </c>
      <c r="R195" s="609" t="s">
        <v>392</v>
      </c>
    </row>
    <row r="196" spans="2:22" x14ac:dyDescent="0.55000000000000004">
      <c r="B196" s="613"/>
      <c r="C196" s="614"/>
      <c r="P196" s="567" t="s">
        <v>586</v>
      </c>
      <c r="Q196" s="611">
        <f>R181</f>
        <v>0.12602629169188748</v>
      </c>
      <c r="R196" s="611">
        <v>0.10218869987122792</v>
      </c>
      <c r="V196" s="617"/>
    </row>
    <row r="197" spans="2:22" x14ac:dyDescent="0.55000000000000004">
      <c r="B197" s="613"/>
      <c r="C197" s="614"/>
      <c r="P197" s="567" t="s">
        <v>580</v>
      </c>
      <c r="Q197" s="611">
        <f>R182</f>
        <v>6.7592195990492765E-2</v>
      </c>
      <c r="R197" s="611">
        <v>4.3908338615248989E-2</v>
      </c>
      <c r="V197" s="617"/>
    </row>
    <row r="198" spans="2:22" x14ac:dyDescent="0.55000000000000004">
      <c r="B198" s="613"/>
      <c r="C198" s="614"/>
      <c r="P198" s="567" t="s">
        <v>415</v>
      </c>
      <c r="Q198" s="611">
        <f>R183</f>
        <v>0.15278792612562675</v>
      </c>
      <c r="R198" s="611">
        <v>5.520505836718087E-2</v>
      </c>
      <c r="V198" s="617"/>
    </row>
    <row r="199" spans="2:22" x14ac:dyDescent="0.55000000000000004">
      <c r="B199" s="613"/>
      <c r="C199" s="614"/>
      <c r="Q199" s="611"/>
      <c r="R199" s="611"/>
    </row>
    <row r="200" spans="2:22" x14ac:dyDescent="0.55000000000000004">
      <c r="B200" s="613"/>
      <c r="C200" s="614"/>
      <c r="P200" s="567" t="s">
        <v>561</v>
      </c>
      <c r="Q200" s="611"/>
      <c r="R200" s="611"/>
    </row>
    <row r="201" spans="2:22" x14ac:dyDescent="0.55000000000000004">
      <c r="B201" s="613"/>
      <c r="C201" s="614"/>
      <c r="P201" s="567" t="s">
        <v>582</v>
      </c>
      <c r="Q201" s="611">
        <f>R187</f>
        <v>9.4400631577179248E-2</v>
      </c>
      <c r="R201" s="611">
        <v>3.8480376643836404E-2</v>
      </c>
    </row>
    <row r="202" spans="2:22" x14ac:dyDescent="0.55000000000000004">
      <c r="B202" s="613"/>
      <c r="C202" s="614"/>
      <c r="P202" s="567" t="s">
        <v>587</v>
      </c>
      <c r="Q202" s="611">
        <f>R191</f>
        <v>6.3930392132160896E-2</v>
      </c>
      <c r="R202" s="611">
        <v>3.0497838229749604E-2</v>
      </c>
    </row>
    <row r="203" spans="2:22" x14ac:dyDescent="0.55000000000000004">
      <c r="B203" s="613"/>
      <c r="C203" s="614"/>
    </row>
    <row r="204" spans="2:22" x14ac:dyDescent="0.55000000000000004">
      <c r="B204" s="613"/>
      <c r="C204" s="614"/>
      <c r="P204" s="606" t="s">
        <v>584</v>
      </c>
      <c r="Q204" s="615">
        <f>SUM(Q196:Q198)-Q201-Q202</f>
        <v>0.18807539009866681</v>
      </c>
      <c r="R204" s="615">
        <f>SUM(R196:R198)-R201-R202</f>
        <v>0.13232388198007175</v>
      </c>
    </row>
    <row r="205" spans="2:22" x14ac:dyDescent="0.55000000000000004">
      <c r="B205" s="552" t="s">
        <v>396</v>
      </c>
      <c r="C205" s="573"/>
    </row>
    <row r="206" spans="2:22" x14ac:dyDescent="0.55000000000000004">
      <c r="B206" s="552" t="s">
        <v>132</v>
      </c>
      <c r="C206" s="573">
        <v>0.92</v>
      </c>
    </row>
    <row r="207" spans="2:22" x14ac:dyDescent="0.55000000000000004">
      <c r="B207" s="552" t="s">
        <v>392</v>
      </c>
      <c r="C207" s="573">
        <v>0.5</v>
      </c>
    </row>
    <row r="208" spans="2:22" x14ac:dyDescent="0.55000000000000004">
      <c r="B208" s="552" t="s">
        <v>394</v>
      </c>
      <c r="C208" s="573"/>
    </row>
    <row r="209" spans="2:9" x14ac:dyDescent="0.55000000000000004">
      <c r="B209" s="552" t="s">
        <v>393</v>
      </c>
      <c r="C209" s="573"/>
    </row>
    <row r="212" spans="2:9" x14ac:dyDescent="0.55000000000000004">
      <c r="B212" s="552" t="s">
        <v>435</v>
      </c>
      <c r="C212" s="552">
        <v>2019</v>
      </c>
      <c r="D212" s="552">
        <v>2020</v>
      </c>
      <c r="E212" s="552">
        <v>2021</v>
      </c>
      <c r="F212" s="552">
        <v>2022</v>
      </c>
      <c r="G212" s="552">
        <v>2023</v>
      </c>
      <c r="H212" s="552">
        <v>2024</v>
      </c>
      <c r="I212" s="552">
        <v>2025</v>
      </c>
    </row>
    <row r="213" spans="2:9" x14ac:dyDescent="0.55000000000000004">
      <c r="B213" s="552" t="s">
        <v>132</v>
      </c>
      <c r="C213" s="575">
        <f>'Revenue and Expenses breakdown'!C74</f>
        <v>0.81925299077850455</v>
      </c>
      <c r="D213" s="575">
        <f>'Revenue and Expenses breakdown'!D74</f>
        <v>0.76056448712463331</v>
      </c>
      <c r="E213" s="575">
        <f>'Revenue and Expenses breakdown'!E74</f>
        <v>0.95684707704500005</v>
      </c>
      <c r="F213" s="575">
        <f>'Revenue and Expenses breakdown'!F74</f>
        <v>0.87038144188514732</v>
      </c>
      <c r="G213" s="575">
        <f>'Revenue and Expenses breakdown'!G74</f>
        <v>0.65534433806905668</v>
      </c>
      <c r="H213" s="575">
        <f>'Revenue and Expenses breakdown'!H74</f>
        <v>0.8103443380690567</v>
      </c>
      <c r="I213" s="575">
        <f>'Revenue and Expenses breakdown'!I74</f>
        <v>0.8103443380690567</v>
      </c>
    </row>
    <row r="214" spans="2:9" x14ac:dyDescent="0.55000000000000004">
      <c r="B214" s="552" t="s">
        <v>132</v>
      </c>
      <c r="C214" s="567">
        <f>-'Revenue and Expenses breakdown'!C71</f>
        <v>81.099999999999994</v>
      </c>
      <c r="D214" s="567">
        <f>-'Revenue and Expenses breakdown'!D71</f>
        <v>87.2</v>
      </c>
      <c r="E214" s="567">
        <f>-'Revenue and Expenses breakdown'!E71</f>
        <v>317.42</v>
      </c>
      <c r="F214" s="567">
        <f>-'Revenue and Expenses breakdown'!F71</f>
        <v>1408</v>
      </c>
      <c r="G214" s="567">
        <f>-'Revenue and Expenses breakdown'!G71</f>
        <v>1723</v>
      </c>
      <c r="H214" s="567">
        <f>-'Revenue and Expenses breakdown'!H71</f>
        <v>2319.4204600881767</v>
      </c>
      <c r="I214" s="567">
        <f>-'Revenue and Expenses breakdown'!I71</f>
        <v>2805.3573036878447</v>
      </c>
    </row>
    <row r="220" spans="2:9" x14ac:dyDescent="0.55000000000000004">
      <c r="G220" s="573"/>
    </row>
    <row r="224" spans="2:9" x14ac:dyDescent="0.55000000000000004">
      <c r="B224" s="552" t="s">
        <v>449</v>
      </c>
    </row>
    <row r="226" spans="2:5" x14ac:dyDescent="0.55000000000000004">
      <c r="B226" s="618" t="s">
        <v>453</v>
      </c>
      <c r="C226" s="618">
        <v>2019</v>
      </c>
      <c r="D226" s="618">
        <v>2020</v>
      </c>
      <c r="E226" s="618" t="s">
        <v>450</v>
      </c>
    </row>
    <row r="227" spans="2:5" x14ac:dyDescent="0.55000000000000004">
      <c r="B227" s="552" t="s">
        <v>451</v>
      </c>
      <c r="C227" s="568">
        <f>Master!D193*4.03</f>
        <v>11229.595000000001</v>
      </c>
      <c r="D227" s="568">
        <f>Master!E193*5.19</f>
        <v>15097.191000000001</v>
      </c>
      <c r="E227" s="568">
        <f>4062*5.44</f>
        <v>22097.280000000002</v>
      </c>
    </row>
    <row r="228" spans="2:5" x14ac:dyDescent="0.55000000000000004">
      <c r="B228" s="552" t="s">
        <v>455</v>
      </c>
      <c r="C228" s="568">
        <f>58*4.03</f>
        <v>233.74</v>
      </c>
      <c r="D228" s="568">
        <f>174.7*5.19</f>
        <v>906.69299999999998</v>
      </c>
      <c r="E228" s="568">
        <f>793*5.44</f>
        <v>4313.92</v>
      </c>
    </row>
    <row r="229" spans="2:5" x14ac:dyDescent="0.55000000000000004">
      <c r="B229" s="552" t="s">
        <v>392</v>
      </c>
      <c r="C229" s="568">
        <v>5063.3999999999996</v>
      </c>
      <c r="D229" s="568">
        <v>9448.9</v>
      </c>
      <c r="E229" s="568">
        <v>15893</v>
      </c>
    </row>
    <row r="230" spans="2:5" x14ac:dyDescent="0.55000000000000004">
      <c r="B230" s="552" t="s">
        <v>452</v>
      </c>
      <c r="C230" s="568">
        <f>209*5.19</f>
        <v>1084.71</v>
      </c>
      <c r="D230" s="568">
        <f>479*5.19</f>
        <v>2486.0100000000002</v>
      </c>
      <c r="E230" s="568">
        <f>1127*5.44</f>
        <v>6130.88</v>
      </c>
    </row>
    <row r="231" spans="2:5" x14ac:dyDescent="0.55000000000000004">
      <c r="B231" s="552" t="s">
        <v>393</v>
      </c>
      <c r="C231" s="568">
        <v>376</v>
      </c>
      <c r="D231" s="568">
        <v>612</v>
      </c>
      <c r="E231" s="568">
        <v>1600</v>
      </c>
    </row>
    <row r="232" spans="2:5" x14ac:dyDescent="0.55000000000000004">
      <c r="B232" s="552" t="s">
        <v>454</v>
      </c>
      <c r="C232" s="568">
        <v>166</v>
      </c>
      <c r="D232" s="568">
        <v>1514</v>
      </c>
      <c r="E232" s="568">
        <v>1591</v>
      </c>
    </row>
    <row r="233" spans="2:5" x14ac:dyDescent="0.55000000000000004">
      <c r="B233" s="552" t="s">
        <v>394</v>
      </c>
      <c r="C233" s="568"/>
      <c r="D233" s="568"/>
      <c r="E233" s="568">
        <v>560.9</v>
      </c>
    </row>
    <row r="251" spans="2:4" x14ac:dyDescent="0.55000000000000004">
      <c r="B251" s="552" t="s">
        <v>456</v>
      </c>
    </row>
    <row r="252" spans="2:4" x14ac:dyDescent="0.55000000000000004">
      <c r="B252" s="618"/>
      <c r="C252" s="618">
        <v>2020</v>
      </c>
      <c r="D252" s="618">
        <v>2025</v>
      </c>
    </row>
    <row r="253" spans="2:4" x14ac:dyDescent="0.55000000000000004">
      <c r="B253" s="613" t="s">
        <v>132</v>
      </c>
    </row>
    <row r="254" spans="2:4" x14ac:dyDescent="0.55000000000000004">
      <c r="B254" s="552" t="s">
        <v>345</v>
      </c>
      <c r="C254" s="567">
        <f>'Revenue and Expenses breakdown'!D8</f>
        <v>217.5</v>
      </c>
      <c r="D254" s="567">
        <f>'Revenue and Expenses breakdown'!I8</f>
        <v>4788.0902478377484</v>
      </c>
    </row>
    <row r="255" spans="2:4" x14ac:dyDescent="0.55000000000000004">
      <c r="B255" s="552" t="s">
        <v>218</v>
      </c>
      <c r="C255" s="567">
        <f>'Revenue and Expenses breakdown'!D16</f>
        <v>38.9</v>
      </c>
      <c r="D255" s="567">
        <f>'Revenue and Expenses breakdown'!I16</f>
        <v>4750.3494163168734</v>
      </c>
    </row>
    <row r="256" spans="2:4" x14ac:dyDescent="0.55000000000000004">
      <c r="B256" s="613" t="s">
        <v>457</v>
      </c>
    </row>
    <row r="257" spans="2:10" x14ac:dyDescent="0.55000000000000004">
      <c r="B257" s="552" t="str">
        <f>B254</f>
        <v>Credit cards</v>
      </c>
      <c r="C257" s="552">
        <v>9000</v>
      </c>
      <c r="D257" s="552">
        <v>15000</v>
      </c>
    </row>
    <row r="258" spans="2:10" x14ac:dyDescent="0.55000000000000004">
      <c r="B258" s="552" t="str">
        <f>B255</f>
        <v>Personal loans</v>
      </c>
      <c r="C258" s="552">
        <f>123000+17000</f>
        <v>140000</v>
      </c>
      <c r="D258" s="552">
        <f>171000+18000</f>
        <v>189000</v>
      </c>
    </row>
    <row r="259" spans="2:10" x14ac:dyDescent="0.55000000000000004">
      <c r="B259" s="613" t="s">
        <v>347</v>
      </c>
    </row>
    <row r="260" spans="2:10" x14ac:dyDescent="0.55000000000000004">
      <c r="B260" s="552" t="str">
        <f>B257</f>
        <v>Credit cards</v>
      </c>
      <c r="C260" s="611">
        <f>C254/C257</f>
        <v>2.4166666666666666E-2</v>
      </c>
      <c r="D260" s="611">
        <f>D254/D257</f>
        <v>0.31920601652251657</v>
      </c>
    </row>
    <row r="261" spans="2:10" x14ac:dyDescent="0.55000000000000004">
      <c r="B261" s="552" t="str">
        <f>B258</f>
        <v>Personal loans</v>
      </c>
      <c r="C261" s="611">
        <f>C255/C258</f>
        <v>2.7785714285714284E-4</v>
      </c>
      <c r="D261" s="611">
        <f>D255/D258</f>
        <v>2.5134123895856474E-2</v>
      </c>
    </row>
    <row r="262" spans="2:10" x14ac:dyDescent="0.55000000000000004">
      <c r="C262" s="611"/>
    </row>
    <row r="265" spans="2:10" x14ac:dyDescent="0.55000000000000004">
      <c r="B265" s="552" t="s">
        <v>459</v>
      </c>
      <c r="C265" s="552">
        <v>2021</v>
      </c>
      <c r="D265" s="552">
        <f t="shared" ref="D265:J265" si="8">C265+1</f>
        <v>2022</v>
      </c>
      <c r="E265" s="552">
        <f t="shared" si="8"/>
        <v>2023</v>
      </c>
      <c r="F265" s="552">
        <f t="shared" si="8"/>
        <v>2024</v>
      </c>
      <c r="G265" s="552">
        <f t="shared" si="8"/>
        <v>2025</v>
      </c>
      <c r="H265" s="552">
        <f t="shared" si="8"/>
        <v>2026</v>
      </c>
      <c r="I265" s="552">
        <f t="shared" si="8"/>
        <v>2027</v>
      </c>
      <c r="J265" s="552">
        <f t="shared" si="8"/>
        <v>2028</v>
      </c>
    </row>
    <row r="267" spans="2:10" x14ac:dyDescent="0.55000000000000004">
      <c r="B267" s="552" t="s">
        <v>461</v>
      </c>
      <c r="C267" s="580">
        <f>'Revenue and Expenses breakdown'!E55</f>
        <v>1.2330000000000001</v>
      </c>
      <c r="D267" s="580">
        <f>'Revenue and Expenses breakdown'!F55</f>
        <v>4.2840000000000007</v>
      </c>
      <c r="E267" s="580">
        <f>'Revenue and Expenses breakdown'!G55</f>
        <v>6.24</v>
      </c>
      <c r="F267" s="580">
        <f>'Revenue and Expenses breakdown'!H55</f>
        <v>9.42</v>
      </c>
      <c r="G267" s="580">
        <f>'Revenue and Expenses breakdown'!I55</f>
        <v>12.791999999999998</v>
      </c>
      <c r="H267" s="580">
        <f>'Revenue and Expenses breakdown'!J55</f>
        <v>15.132</v>
      </c>
      <c r="I267" s="580">
        <f>'Revenue and Expenses breakdown'!K55</f>
        <v>17.556000000000001</v>
      </c>
      <c r="J267" s="580">
        <f>'Revenue and Expenses breakdown'!L55</f>
        <v>19.860000000000003</v>
      </c>
    </row>
    <row r="268" spans="2:10" x14ac:dyDescent="0.55000000000000004">
      <c r="B268" s="552" t="s">
        <v>460</v>
      </c>
      <c r="C268" s="611">
        <f>C267/Drivers!F8</f>
        <v>3.0000000000000002E-2</v>
      </c>
      <c r="D268" s="611">
        <f>D267/Drivers!G8</f>
        <v>7.0000000000000007E-2</v>
      </c>
      <c r="E268" s="611">
        <f>E267/Drivers!H8</f>
        <v>0.08</v>
      </c>
      <c r="F268" s="611">
        <f>F267/Drivers!I8</f>
        <v>9.9999999999999992E-2</v>
      </c>
      <c r="G268" s="611">
        <f>G267/Drivers!J8</f>
        <v>0.11999999999999998</v>
      </c>
      <c r="H268" s="611">
        <f>H267/Drivers!K8</f>
        <v>0.13</v>
      </c>
      <c r="I268" s="611">
        <f>I267/Drivers!L8</f>
        <v>0.14000000000000001</v>
      </c>
      <c r="J268" s="611">
        <f>J267/Drivers!M8</f>
        <v>0.15000000000000002</v>
      </c>
    </row>
    <row r="269" spans="2:10" x14ac:dyDescent="0.55000000000000004">
      <c r="B269" s="552" t="s">
        <v>471</v>
      </c>
      <c r="C269" s="552">
        <f>'Revenue and Expenses breakdown'!E56</f>
        <v>0</v>
      </c>
      <c r="D269" s="552">
        <f>'Revenue and Expenses breakdown'!F56</f>
        <v>6</v>
      </c>
      <c r="E269" s="552">
        <f>'Revenue and Expenses breakdown'!G56</f>
        <v>7</v>
      </c>
      <c r="F269" s="552">
        <f>'Revenue and Expenses breakdown'!H56</f>
        <v>7</v>
      </c>
      <c r="G269" s="552">
        <f>'Revenue and Expenses breakdown'!I56</f>
        <v>7</v>
      </c>
      <c r="H269" s="552">
        <f>'Revenue and Expenses breakdown'!J56</f>
        <v>7.5</v>
      </c>
      <c r="I269" s="552">
        <f>'Revenue and Expenses breakdown'!K56</f>
        <v>8.5</v>
      </c>
      <c r="J269" s="552">
        <f>'Revenue and Expenses breakdown'!L56</f>
        <v>9.5</v>
      </c>
    </row>
    <row r="271" spans="2:10" x14ac:dyDescent="0.55000000000000004">
      <c r="B271" s="552" t="s">
        <v>462</v>
      </c>
      <c r="C271" s="580">
        <f>Drivers!F325</f>
        <v>0</v>
      </c>
      <c r="D271" s="580">
        <f>Drivers!G325</f>
        <v>4.8959999999999999</v>
      </c>
      <c r="E271" s="580">
        <f>Drivers!H325</f>
        <v>9.36</v>
      </c>
      <c r="F271" s="580">
        <f>Drivers!I325</f>
        <v>13.188000000000002</v>
      </c>
      <c r="G271" s="580">
        <f>Drivers!J325</f>
        <v>17.056000000000001</v>
      </c>
      <c r="H271" s="580">
        <f>Drivers!K325</f>
        <v>20.951999999999998</v>
      </c>
      <c r="I271" s="580">
        <f>Drivers!L325</f>
        <v>25.08</v>
      </c>
      <c r="J271" s="580">
        <f>Drivers!M325</f>
        <v>26.480000000000004</v>
      </c>
    </row>
    <row r="272" spans="2:10" x14ac:dyDescent="0.55000000000000004">
      <c r="B272" s="552" t="s">
        <v>470</v>
      </c>
      <c r="C272" s="611">
        <f>Drivers!F324</f>
        <v>0</v>
      </c>
      <c r="D272" s="611">
        <f>Drivers!G324</f>
        <v>0.04</v>
      </c>
      <c r="E272" s="611">
        <f>Drivers!H324</f>
        <v>0.06</v>
      </c>
      <c r="F272" s="611">
        <f>Drivers!I324</f>
        <v>7.0000000000000007E-2</v>
      </c>
      <c r="G272" s="611">
        <f>Drivers!J324</f>
        <v>0.08</v>
      </c>
      <c r="H272" s="611">
        <f>Drivers!K324</f>
        <v>0.09</v>
      </c>
      <c r="I272" s="611">
        <f>Drivers!L324</f>
        <v>0.1</v>
      </c>
      <c r="J272" s="611">
        <f>Drivers!M324</f>
        <v>0.1</v>
      </c>
    </row>
    <row r="273" spans="2:10" x14ac:dyDescent="0.55000000000000004">
      <c r="B273" s="552" t="s">
        <v>472</v>
      </c>
      <c r="C273" s="567">
        <f>Drivers!F327</f>
        <v>233.89428423159612</v>
      </c>
      <c r="D273" s="567">
        <f>Drivers!G327</f>
        <v>244.5736434108527</v>
      </c>
      <c r="E273" s="567">
        <f>Drivers!H327</f>
        <v>252.90581162324648</v>
      </c>
      <c r="F273" s="567">
        <f>Drivers!I327</f>
        <v>240.74074074074073</v>
      </c>
      <c r="G273" s="567">
        <f>Drivers!J327</f>
        <v>233.8129496402878</v>
      </c>
      <c r="H273" s="567">
        <f>Drivers!K327</f>
        <v>233.8129496402878</v>
      </c>
      <c r="I273" s="567">
        <f>Drivers!L327</f>
        <v>233.8129496402878</v>
      </c>
      <c r="J273" s="567">
        <f>Drivers!M327</f>
        <v>233.8129496402878</v>
      </c>
    </row>
    <row r="276" spans="2:10" x14ac:dyDescent="0.55000000000000004">
      <c r="B276" s="592" t="s">
        <v>73</v>
      </c>
      <c r="C276" s="619" t="s">
        <v>353</v>
      </c>
      <c r="D276" s="619" t="s">
        <v>481</v>
      </c>
      <c r="E276" s="592"/>
      <c r="F276" s="619" t="s">
        <v>482</v>
      </c>
      <c r="G276" s="620" t="s">
        <v>481</v>
      </c>
      <c r="H276" s="621"/>
    </row>
    <row r="277" spans="2:10" x14ac:dyDescent="0.55000000000000004">
      <c r="B277" s="622" t="s">
        <v>478</v>
      </c>
      <c r="C277" s="623">
        <f>Master!F68</f>
        <v>3493.6222350000003</v>
      </c>
      <c r="D277" s="624">
        <f>C277/C$279</f>
        <v>0.75230879188491662</v>
      </c>
      <c r="E277" s="622"/>
      <c r="F277" s="623">
        <f>C277*1</f>
        <v>3493.6222350000003</v>
      </c>
      <c r="G277" s="625">
        <f>F277/F$279</f>
        <v>0.13184214211709666</v>
      </c>
    </row>
    <row r="278" spans="2:10" x14ac:dyDescent="0.55000000000000004">
      <c r="B278" s="626" t="s">
        <v>479</v>
      </c>
      <c r="C278" s="627">
        <v>1150.2451140000001</v>
      </c>
      <c r="D278" s="628">
        <f>C278/C$279</f>
        <v>0.24769120811508349</v>
      </c>
      <c r="E278" s="626"/>
      <c r="F278" s="627">
        <f>C278*20</f>
        <v>23004.902280000002</v>
      </c>
      <c r="G278" s="629">
        <f>F278/F$279</f>
        <v>0.86815785788290334</v>
      </c>
    </row>
    <row r="279" spans="2:10" x14ac:dyDescent="0.55000000000000004">
      <c r="B279" s="622" t="s">
        <v>353</v>
      </c>
      <c r="C279" s="623">
        <f>C277+C278</f>
        <v>4643.8673490000001</v>
      </c>
      <c r="D279" s="624">
        <f>C279/C279</f>
        <v>1</v>
      </c>
      <c r="E279" s="622"/>
      <c r="F279" s="623">
        <f>F277+F278</f>
        <v>26498.524515000001</v>
      </c>
      <c r="G279" s="624">
        <f>F279/F279</f>
        <v>1</v>
      </c>
    </row>
    <row r="280" spans="2:10" x14ac:dyDescent="0.55000000000000004">
      <c r="B280" s="563"/>
      <c r="C280" s="630"/>
      <c r="D280" s="631"/>
      <c r="E280" s="563"/>
      <c r="F280" s="630"/>
      <c r="G280" s="563"/>
    </row>
    <row r="281" spans="2:10" x14ac:dyDescent="0.55000000000000004">
      <c r="B281" s="632" t="s">
        <v>603</v>
      </c>
      <c r="C281" s="623"/>
      <c r="D281" s="633"/>
      <c r="E281" s="622"/>
      <c r="F281" s="634"/>
      <c r="G281" s="634"/>
    </row>
    <row r="282" spans="2:10" x14ac:dyDescent="0.55000000000000004">
      <c r="B282" s="610" t="s">
        <v>480</v>
      </c>
      <c r="C282" s="630"/>
      <c r="D282" s="611"/>
      <c r="E282" s="567"/>
      <c r="F282" s="567"/>
    </row>
    <row r="283" spans="2:10" x14ac:dyDescent="0.55000000000000004">
      <c r="B283" s="634" t="str">
        <f>B277</f>
        <v>A shares</v>
      </c>
      <c r="C283" s="623">
        <v>0</v>
      </c>
      <c r="D283" s="624">
        <f>C283/C$277</f>
        <v>0</v>
      </c>
      <c r="E283" s="634"/>
      <c r="F283" s="623">
        <f>C283*1</f>
        <v>0</v>
      </c>
      <c r="G283" s="625">
        <f>F283/F277</f>
        <v>0</v>
      </c>
    </row>
    <row r="284" spans="2:10" x14ac:dyDescent="0.55000000000000004">
      <c r="B284" s="608" t="str">
        <f>B278</f>
        <v>B shares</v>
      </c>
      <c r="C284" s="627">
        <f>0.862*C278</f>
        <v>991.51128826800004</v>
      </c>
      <c r="D284" s="628">
        <f>C284/C$278</f>
        <v>0.86199999999999999</v>
      </c>
      <c r="E284" s="626"/>
      <c r="F284" s="627">
        <f>C284*20</f>
        <v>19830.225765360003</v>
      </c>
      <c r="G284" s="629">
        <f>F284/F278</f>
        <v>0.86199999999999999</v>
      </c>
    </row>
    <row r="285" spans="2:10" x14ac:dyDescent="0.55000000000000004">
      <c r="B285" s="634" t="s">
        <v>353</v>
      </c>
      <c r="C285" s="623">
        <f>C283+C284</f>
        <v>991.51128826800004</v>
      </c>
      <c r="D285" s="624">
        <f>C285/C$279</f>
        <v>0.21350982139520197</v>
      </c>
      <c r="E285" s="622"/>
      <c r="F285" s="623">
        <f>F283+F284</f>
        <v>19830.225765360003</v>
      </c>
      <c r="G285" s="625">
        <f>F285/F279</f>
        <v>0.74835207349506272</v>
      </c>
    </row>
    <row r="286" spans="2:10" x14ac:dyDescent="0.55000000000000004">
      <c r="B286" s="610" t="s">
        <v>483</v>
      </c>
      <c r="C286" s="630"/>
      <c r="D286" s="611"/>
      <c r="E286" s="563"/>
      <c r="F286" s="567"/>
    </row>
    <row r="287" spans="2:10" x14ac:dyDescent="0.55000000000000004">
      <c r="B287" s="634" t="str">
        <f>B283</f>
        <v>A shares</v>
      </c>
      <c r="C287" s="623">
        <v>4.492</v>
      </c>
      <c r="D287" s="624">
        <f>C287/C$277</f>
        <v>1.2857715281858458E-3</v>
      </c>
      <c r="E287" s="622"/>
      <c r="F287" s="623">
        <f>C287*1</f>
        <v>4.492</v>
      </c>
      <c r="G287" s="624">
        <f>F287/F$277</f>
        <v>1.2857715281858458E-3</v>
      </c>
    </row>
    <row r="288" spans="2:10" x14ac:dyDescent="0.55000000000000004">
      <c r="B288" s="608" t="str">
        <f>B284</f>
        <v>B shares</v>
      </c>
      <c r="C288" s="627">
        <v>122.491</v>
      </c>
      <c r="D288" s="628">
        <f>C288/C$278</f>
        <v>0.10649121522806138</v>
      </c>
      <c r="E288" s="618"/>
      <c r="F288" s="627">
        <f>C288*20</f>
        <v>2449.8200000000002</v>
      </c>
      <c r="G288" s="628">
        <f>F288/F$278</f>
        <v>0.10649121522806138</v>
      </c>
    </row>
    <row r="289" spans="2:9" x14ac:dyDescent="0.55000000000000004">
      <c r="B289" s="634" t="str">
        <f>B285</f>
        <v>Total</v>
      </c>
      <c r="C289" s="623">
        <f>SUM(C287:C288)</f>
        <v>126.983</v>
      </c>
      <c r="D289" s="624">
        <f>C289/C$279</f>
        <v>2.7344234978491415E-2</v>
      </c>
      <c r="E289" s="635"/>
      <c r="F289" s="623">
        <f>F287+F288</f>
        <v>2454.3120000000004</v>
      </c>
      <c r="G289" s="624">
        <f>F289/F$279</f>
        <v>9.2620704168290185E-2</v>
      </c>
    </row>
    <row r="290" spans="2:9" x14ac:dyDescent="0.55000000000000004">
      <c r="B290" s="610" t="s">
        <v>602</v>
      </c>
      <c r="C290" s="630"/>
      <c r="D290" s="611"/>
      <c r="G290" s="611"/>
    </row>
    <row r="291" spans="2:9" x14ac:dyDescent="0.55000000000000004">
      <c r="B291" s="634" t="s">
        <v>604</v>
      </c>
      <c r="C291" s="623">
        <v>790.95</v>
      </c>
      <c r="D291" s="624">
        <f>C291/C$279</f>
        <v>0.17032140252031994</v>
      </c>
      <c r="E291" s="635"/>
      <c r="F291" s="623">
        <f>C291</f>
        <v>790.95</v>
      </c>
      <c r="G291" s="624">
        <f>F291/F$279</f>
        <v>2.984883175484988E-2</v>
      </c>
    </row>
    <row r="292" spans="2:9" x14ac:dyDescent="0.55000000000000004">
      <c r="B292" s="567" t="s">
        <v>605</v>
      </c>
      <c r="C292" s="630">
        <v>415.339</v>
      </c>
      <c r="D292" s="631">
        <f>C292/C$279</f>
        <v>8.9438170556150401E-2</v>
      </c>
      <c r="F292" s="630">
        <f>C292</f>
        <v>415.339</v>
      </c>
      <c r="G292" s="631">
        <f>F292/F$279</f>
        <v>1.5674042521306775E-2</v>
      </c>
    </row>
    <row r="293" spans="2:9" x14ac:dyDescent="0.55000000000000004">
      <c r="B293" s="634" t="s">
        <v>606</v>
      </c>
      <c r="C293" s="623">
        <v>281.733</v>
      </c>
      <c r="D293" s="624">
        <f>C293/C$279</f>
        <v>6.0667753582726205E-2</v>
      </c>
      <c r="E293" s="635"/>
      <c r="F293" s="623">
        <f>C293</f>
        <v>281.733</v>
      </c>
      <c r="G293" s="624">
        <f>F293/F$279</f>
        <v>1.063202593942616E-2</v>
      </c>
    </row>
    <row r="294" spans="2:9" ht="15.6" thickBot="1" x14ac:dyDescent="0.6">
      <c r="B294" s="567" t="s">
        <v>607</v>
      </c>
      <c r="C294" s="630">
        <v>250.351</v>
      </c>
      <c r="D294" s="631">
        <f>C294/C$279</f>
        <v>5.3910023948877443E-2</v>
      </c>
      <c r="F294" s="630">
        <f>C294</f>
        <v>250.351</v>
      </c>
      <c r="G294" s="631">
        <f>F294/F$279</f>
        <v>9.4477335844976567E-3</v>
      </c>
    </row>
    <row r="295" spans="2:9" ht="15.6" thickBot="1" x14ac:dyDescent="0.6">
      <c r="B295" s="636" t="s">
        <v>608</v>
      </c>
      <c r="C295" s="637">
        <f>Master!F72</f>
        <v>332.52313800000002</v>
      </c>
      <c r="D295" s="638">
        <f>C295/C$279</f>
        <v>7.1604788209896825E-2</v>
      </c>
      <c r="E295" s="639"/>
      <c r="F295" s="637">
        <f>C295</f>
        <v>332.52313800000002</v>
      </c>
      <c r="G295" s="640">
        <f>F295/F$279</f>
        <v>1.2548741640756974E-2</v>
      </c>
    </row>
    <row r="296" spans="2:9" x14ac:dyDescent="0.55000000000000004">
      <c r="B296" s="567"/>
    </row>
    <row r="297" spans="2:9" x14ac:dyDescent="0.55000000000000004">
      <c r="B297" s="574" t="s">
        <v>408</v>
      </c>
      <c r="C297" s="579" t="str">
        <f>Quarts!D2</f>
        <v>Q1 20</v>
      </c>
      <c r="D297" s="579" t="str">
        <f>Quarts!E2</f>
        <v>Q2 20</v>
      </c>
      <c r="E297" s="579" t="str">
        <f>Quarts!F2</f>
        <v>Q3 20</v>
      </c>
      <c r="F297" s="579" t="str">
        <f>Quarts!G2</f>
        <v>Q4 20</v>
      </c>
      <c r="G297" s="579" t="str">
        <f>Quarts!H2</f>
        <v>Q1 21</v>
      </c>
      <c r="H297" s="579" t="str">
        <f>Quarts!I2</f>
        <v>Q2 21</v>
      </c>
      <c r="I297" s="579" t="str">
        <f>Quarts!J2</f>
        <v>Q3 21</v>
      </c>
    </row>
    <row r="298" spans="2:9" x14ac:dyDescent="0.55000000000000004">
      <c r="B298" s="552" t="s">
        <v>132</v>
      </c>
      <c r="C298" s="611"/>
      <c r="D298" s="611">
        <f>Quarts!E60</f>
        <v>0.58718422674060389</v>
      </c>
      <c r="E298" s="611">
        <f>Quarts!F60</f>
        <v>0.43113388853299178</v>
      </c>
      <c r="F298" s="611">
        <f>Quarts!G60</f>
        <v>0.37759131293188558</v>
      </c>
      <c r="G298" s="611">
        <f>Quarts!H60</f>
        <v>0.47224489795918362</v>
      </c>
      <c r="H298" s="611">
        <f>Quarts!I60</f>
        <v>0.49509074680154724</v>
      </c>
      <c r="I298" s="611">
        <f>Quarts!J60</f>
        <v>0.4655853607818673</v>
      </c>
    </row>
    <row r="299" spans="2:9" x14ac:dyDescent="0.55000000000000004">
      <c r="B299" s="552" t="s">
        <v>392</v>
      </c>
      <c r="C299" s="611">
        <v>0.44740335697903821</v>
      </c>
      <c r="D299" s="611">
        <v>0.600208171658562</v>
      </c>
      <c r="E299" s="611">
        <v>0.61460790185216518</v>
      </c>
      <c r="F299" s="611">
        <v>0.62040651377295619</v>
      </c>
      <c r="G299" s="611">
        <v>0.5827472804931374</v>
      </c>
      <c r="H299" s="611">
        <v>0.52471418970877748</v>
      </c>
      <c r="I299" s="611">
        <v>0.49535877012596818</v>
      </c>
    </row>
    <row r="300" spans="2:9" x14ac:dyDescent="0.55000000000000004">
      <c r="D300" s="567"/>
    </row>
    <row r="301" spans="2:9" x14ac:dyDescent="0.55000000000000004">
      <c r="D301" s="567"/>
    </row>
    <row r="302" spans="2:9" x14ac:dyDescent="0.55000000000000004">
      <c r="D302" s="567"/>
    </row>
    <row r="303" spans="2:9" x14ac:dyDescent="0.55000000000000004">
      <c r="D303" s="567"/>
    </row>
    <row r="304" spans="2:9" x14ac:dyDescent="0.55000000000000004">
      <c r="D304" s="567"/>
    </row>
    <row r="305" spans="3:4" x14ac:dyDescent="0.55000000000000004">
      <c r="D305" s="567"/>
    </row>
    <row r="320" spans="3:4" x14ac:dyDescent="0.55000000000000004">
      <c r="C320" s="552" t="s">
        <v>538</v>
      </c>
      <c r="D320" s="575">
        <f>S156</f>
        <v>0.70025008931761346</v>
      </c>
    </row>
    <row r="321" spans="3:4" x14ac:dyDescent="0.55000000000000004">
      <c r="C321" s="552" t="s">
        <v>539</v>
      </c>
      <c r="D321" s="575">
        <f>S159</f>
        <v>0.44398483281627027</v>
      </c>
    </row>
    <row r="322" spans="3:4" x14ac:dyDescent="0.55000000000000004">
      <c r="C322" s="552" t="s">
        <v>544</v>
      </c>
      <c r="D322" s="575">
        <f>S161</f>
        <v>0.56982456140350879</v>
      </c>
    </row>
    <row r="324" spans="3:4" x14ac:dyDescent="0.55000000000000004">
      <c r="C324" s="552" t="s">
        <v>541</v>
      </c>
      <c r="D324" s="575">
        <v>0.23899999999999999</v>
      </c>
    </row>
    <row r="325" spans="3:4" x14ac:dyDescent="0.55000000000000004">
      <c r="C325" s="552" t="s">
        <v>542</v>
      </c>
      <c r="D325" s="575">
        <v>0.13400000000000001</v>
      </c>
    </row>
    <row r="326" spans="3:4" x14ac:dyDescent="0.55000000000000004">
      <c r="C326" s="552" t="s">
        <v>540</v>
      </c>
      <c r="D326" s="575">
        <v>5.0999999999999997E-2</v>
      </c>
    </row>
    <row r="327" spans="3:4" x14ac:dyDescent="0.55000000000000004">
      <c r="C327" s="552" t="s">
        <v>545</v>
      </c>
      <c r="D327" s="575">
        <v>0.182</v>
      </c>
    </row>
    <row r="337" spans="2:10" x14ac:dyDescent="0.55000000000000004">
      <c r="B337" s="574" t="s">
        <v>361</v>
      </c>
      <c r="C337" s="579" t="s">
        <v>376</v>
      </c>
      <c r="D337" s="579" t="s">
        <v>560</v>
      </c>
      <c r="E337" s="579" t="s">
        <v>251</v>
      </c>
      <c r="F337" s="579" t="s">
        <v>441</v>
      </c>
      <c r="H337" s="579" t="s">
        <v>562</v>
      </c>
      <c r="I337" s="579" t="s">
        <v>563</v>
      </c>
      <c r="J337" s="579" t="s">
        <v>564</v>
      </c>
    </row>
    <row r="338" spans="2:10" x14ac:dyDescent="0.55000000000000004">
      <c r="B338" s="641" t="s">
        <v>555</v>
      </c>
      <c r="C338" s="630">
        <v>126875</v>
      </c>
      <c r="D338" s="630">
        <v>48322</v>
      </c>
      <c r="E338" s="630">
        <v>237654</v>
      </c>
      <c r="F338" s="630">
        <v>132279</v>
      </c>
    </row>
    <row r="339" spans="2:10" x14ac:dyDescent="0.55000000000000004">
      <c r="B339" s="641" t="s">
        <v>556</v>
      </c>
      <c r="C339" s="630">
        <v>40728</v>
      </c>
      <c r="D339" s="630">
        <v>16678</v>
      </c>
      <c r="E339" s="630">
        <v>34561</v>
      </c>
      <c r="F339" s="630">
        <v>22366</v>
      </c>
    </row>
    <row r="340" spans="2:10" ht="15.7" customHeight="1" x14ac:dyDescent="0.55000000000000004">
      <c r="B340" s="642" t="s">
        <v>557</v>
      </c>
      <c r="C340" s="643">
        <f>C338-C339</f>
        <v>86147</v>
      </c>
      <c r="D340" s="643">
        <f>D338-D339</f>
        <v>31644</v>
      </c>
      <c r="E340" s="643">
        <f>E338-E339</f>
        <v>203093</v>
      </c>
      <c r="F340" s="643">
        <f>F338-F339</f>
        <v>109913</v>
      </c>
    </row>
    <row r="341" spans="2:10" x14ac:dyDescent="0.55000000000000004">
      <c r="B341" s="641" t="s">
        <v>558</v>
      </c>
      <c r="C341" s="630">
        <v>6400</v>
      </c>
      <c r="D341" s="630">
        <v>5739</v>
      </c>
      <c r="E341" s="630">
        <v>18079</v>
      </c>
      <c r="F341" s="630">
        <v>12297</v>
      </c>
    </row>
    <row r="342" spans="2:10" x14ac:dyDescent="0.55000000000000004">
      <c r="B342" s="642" t="s">
        <v>106</v>
      </c>
      <c r="C342" s="643">
        <f>C340-C341</f>
        <v>79747</v>
      </c>
      <c r="D342" s="643">
        <f>D340-D341</f>
        <v>25905</v>
      </c>
      <c r="E342" s="643">
        <f>E340-E341</f>
        <v>185014</v>
      </c>
      <c r="F342" s="643">
        <f>F340-F341</f>
        <v>97616</v>
      </c>
    </row>
    <row r="343" spans="2:10" x14ac:dyDescent="0.55000000000000004">
      <c r="B343" s="642"/>
      <c r="C343" s="643"/>
      <c r="D343" s="643"/>
      <c r="E343" s="643"/>
      <c r="F343" s="643"/>
    </row>
    <row r="344" spans="2:10" x14ac:dyDescent="0.55000000000000004">
      <c r="B344" s="641" t="s">
        <v>555</v>
      </c>
      <c r="C344" s="630">
        <v>67612</v>
      </c>
      <c r="D344" s="630">
        <v>9447</v>
      </c>
      <c r="E344" s="630">
        <v>132055</v>
      </c>
      <c r="F344" s="630">
        <v>20366</v>
      </c>
    </row>
    <row r="345" spans="2:10" x14ac:dyDescent="0.55000000000000004">
      <c r="B345" s="641" t="s">
        <v>556</v>
      </c>
      <c r="C345" s="630">
        <v>20170</v>
      </c>
      <c r="D345" s="630">
        <v>2337</v>
      </c>
      <c r="E345" s="630">
        <v>35744</v>
      </c>
      <c r="F345" s="630">
        <v>4095</v>
      </c>
    </row>
    <row r="346" spans="2:10" ht="15.7" customHeight="1" x14ac:dyDescent="0.55000000000000004">
      <c r="B346" s="642" t="s">
        <v>559</v>
      </c>
      <c r="C346" s="643">
        <f>C344-C345</f>
        <v>47442</v>
      </c>
      <c r="D346" s="643">
        <f>D344-D345</f>
        <v>7110</v>
      </c>
      <c r="E346" s="643">
        <f>E344-E345</f>
        <v>96311</v>
      </c>
      <c r="F346" s="643">
        <f>F344-F345</f>
        <v>16271</v>
      </c>
    </row>
    <row r="347" spans="2:10" x14ac:dyDescent="0.55000000000000004">
      <c r="B347" s="641" t="s">
        <v>558</v>
      </c>
      <c r="C347" s="563">
        <v>184</v>
      </c>
      <c r="D347" s="563">
        <v>76</v>
      </c>
      <c r="E347" s="563">
        <v>358</v>
      </c>
      <c r="F347" s="563">
        <v>104</v>
      </c>
    </row>
    <row r="348" spans="2:10" x14ac:dyDescent="0.55000000000000004">
      <c r="B348" s="642" t="s">
        <v>107</v>
      </c>
      <c r="C348" s="643">
        <f>C346-C347</f>
        <v>47258</v>
      </c>
      <c r="D348" s="643">
        <f>D346-D347</f>
        <v>7034</v>
      </c>
      <c r="E348" s="643">
        <f>E346-E347</f>
        <v>95953</v>
      </c>
      <c r="F348" s="643">
        <f>F346-F347</f>
        <v>16167</v>
      </c>
    </row>
    <row r="349" spans="2:10" x14ac:dyDescent="0.55000000000000004">
      <c r="B349" s="641"/>
      <c r="C349" s="641"/>
      <c r="D349" s="641"/>
      <c r="E349" s="641"/>
      <c r="F349" s="641"/>
    </row>
    <row r="350" spans="2:10" x14ac:dyDescent="0.55000000000000004">
      <c r="B350" s="642" t="s">
        <v>567</v>
      </c>
      <c r="C350" s="643">
        <f>C342+C348</f>
        <v>127005</v>
      </c>
      <c r="D350" s="643">
        <f>D342+D348</f>
        <v>32939</v>
      </c>
      <c r="E350" s="644">
        <f>E342+E348</f>
        <v>280967</v>
      </c>
      <c r="F350" s="643">
        <f>F342+F348</f>
        <v>113783</v>
      </c>
    </row>
    <row r="351" spans="2:10" x14ac:dyDescent="0.55000000000000004">
      <c r="B351" s="641"/>
      <c r="C351" s="630"/>
      <c r="D351" s="630"/>
      <c r="E351" s="630"/>
      <c r="F351" s="630"/>
    </row>
    <row r="352" spans="2:10" x14ac:dyDescent="0.55000000000000004">
      <c r="B352" s="642" t="s">
        <v>568</v>
      </c>
      <c r="C352" s="630"/>
      <c r="D352" s="630"/>
      <c r="E352" s="643">
        <v>314323</v>
      </c>
      <c r="F352" s="630"/>
      <c r="H352" s="643">
        <v>217452</v>
      </c>
    </row>
    <row r="353" spans="2:8" x14ac:dyDescent="0.55000000000000004">
      <c r="B353" s="645" t="s">
        <v>569</v>
      </c>
      <c r="C353" s="627"/>
      <c r="D353" s="627"/>
      <c r="E353" s="646">
        <v>110325</v>
      </c>
      <c r="F353" s="627"/>
      <c r="G353" s="608"/>
      <c r="H353" s="646">
        <v>26210</v>
      </c>
    </row>
    <row r="354" spans="2:8" x14ac:dyDescent="0.55000000000000004">
      <c r="B354" s="642" t="s">
        <v>570</v>
      </c>
      <c r="C354" s="630"/>
      <c r="D354" s="630"/>
      <c r="E354" s="647">
        <f>E352+E353</f>
        <v>424648</v>
      </c>
      <c r="F354" s="630"/>
      <c r="H354" s="647">
        <f>H352+H353</f>
        <v>243662</v>
      </c>
    </row>
    <row r="355" spans="2:8" x14ac:dyDescent="0.55000000000000004">
      <c r="B355" s="641"/>
      <c r="C355" s="630"/>
      <c r="D355" s="630"/>
      <c r="E355" s="630"/>
      <c r="F355" s="630"/>
      <c r="H355" s="630"/>
    </row>
    <row r="356" spans="2:8" x14ac:dyDescent="0.55000000000000004">
      <c r="B356" s="642" t="s">
        <v>571</v>
      </c>
      <c r="C356" s="630"/>
      <c r="D356" s="630"/>
      <c r="E356" s="630"/>
      <c r="F356" s="630"/>
      <c r="H356" s="630"/>
    </row>
    <row r="357" spans="2:8" x14ac:dyDescent="0.55000000000000004">
      <c r="B357" s="641" t="s">
        <v>345</v>
      </c>
      <c r="C357" s="567"/>
      <c r="D357" s="630"/>
      <c r="E357" s="630">
        <v>4061.5</v>
      </c>
      <c r="F357" s="630"/>
      <c r="H357" s="630">
        <v>2908.9</v>
      </c>
    </row>
    <row r="358" spans="2:8" x14ac:dyDescent="0.55000000000000004">
      <c r="B358" s="648" t="s">
        <v>218</v>
      </c>
      <c r="C358" s="608"/>
      <c r="D358" s="627"/>
      <c r="E358" s="627">
        <v>792.7</v>
      </c>
      <c r="F358" s="627"/>
      <c r="G358" s="608"/>
      <c r="H358" s="627">
        <v>174.7</v>
      </c>
    </row>
    <row r="359" spans="2:8" x14ac:dyDescent="0.55000000000000004">
      <c r="B359" s="641" t="s">
        <v>449</v>
      </c>
      <c r="C359" s="567"/>
      <c r="D359" s="630"/>
      <c r="E359" s="649">
        <f>E357+E358</f>
        <v>4854.2</v>
      </c>
      <c r="F359" s="630"/>
      <c r="H359" s="649">
        <f>H357+H358</f>
        <v>3083.6</v>
      </c>
    </row>
    <row r="360" spans="2:8" x14ac:dyDescent="0.55000000000000004">
      <c r="B360" s="641"/>
      <c r="C360" s="630"/>
      <c r="D360" s="630"/>
      <c r="E360" s="630"/>
      <c r="F360" s="630"/>
      <c r="H360" s="630"/>
    </row>
    <row r="361" spans="2:8" x14ac:dyDescent="0.55000000000000004">
      <c r="B361" s="642" t="s">
        <v>572</v>
      </c>
      <c r="C361" s="630"/>
      <c r="D361" s="630"/>
      <c r="E361" s="630"/>
      <c r="F361" s="630"/>
      <c r="H361" s="630"/>
    </row>
    <row r="362" spans="2:8" x14ac:dyDescent="0.55000000000000004">
      <c r="B362" s="641" t="str">
        <f>B357</f>
        <v>Credit cards</v>
      </c>
      <c r="C362" s="630"/>
      <c r="D362" s="630"/>
      <c r="E362" s="630">
        <f>E357+E352/1000</f>
        <v>4375.8230000000003</v>
      </c>
      <c r="F362" s="630"/>
      <c r="H362" s="630">
        <f>H357+H352/1000</f>
        <v>3126.3519999999999</v>
      </c>
    </row>
    <row r="363" spans="2:8" x14ac:dyDescent="0.55000000000000004">
      <c r="B363" s="648" t="str">
        <f>B358</f>
        <v>Personal loans</v>
      </c>
      <c r="C363" s="627"/>
      <c r="D363" s="627"/>
      <c r="E363" s="627">
        <f>E358+E353/1000</f>
        <v>903.02500000000009</v>
      </c>
      <c r="F363" s="627"/>
      <c r="G363" s="608"/>
      <c r="H363" s="627">
        <f>H358+H353/1000</f>
        <v>200.91</v>
      </c>
    </row>
    <row r="364" spans="2:8" x14ac:dyDescent="0.55000000000000004">
      <c r="B364" s="641" t="str">
        <f>B359</f>
        <v>Loan book</v>
      </c>
      <c r="C364" s="630"/>
      <c r="D364" s="630"/>
      <c r="E364" s="630">
        <f>E359+E354/1000</f>
        <v>5278.848</v>
      </c>
      <c r="F364" s="630"/>
      <c r="H364" s="630">
        <f>H359+H354/1000</f>
        <v>3327.2619999999997</v>
      </c>
    </row>
    <row r="365" spans="2:8" x14ac:dyDescent="0.55000000000000004">
      <c r="B365" s="641"/>
      <c r="C365" s="630"/>
      <c r="D365" s="630"/>
      <c r="E365" s="630"/>
      <c r="F365" s="630"/>
      <c r="H365" s="630"/>
    </row>
    <row r="366" spans="2:8" x14ac:dyDescent="0.55000000000000004">
      <c r="B366" s="642" t="s">
        <v>573</v>
      </c>
      <c r="C366" s="630"/>
      <c r="D366" s="630"/>
      <c r="E366" s="630"/>
      <c r="F366" s="630"/>
      <c r="H366" s="630"/>
    </row>
    <row r="367" spans="2:8" x14ac:dyDescent="0.55000000000000004">
      <c r="B367" s="641" t="str">
        <f>B362</f>
        <v>Credit cards</v>
      </c>
      <c r="C367" s="630"/>
      <c r="D367" s="630"/>
      <c r="E367" s="631">
        <f>(E352/1000)/E362</f>
        <v>7.1831744565536579E-2</v>
      </c>
      <c r="F367" s="630"/>
      <c r="H367" s="631">
        <f>(H352/1000)/H362</f>
        <v>6.9554547920387733E-2</v>
      </c>
    </row>
    <row r="368" spans="2:8" x14ac:dyDescent="0.55000000000000004">
      <c r="B368" s="648" t="str">
        <f>B363</f>
        <v>Personal loans</v>
      </c>
      <c r="C368" s="627"/>
      <c r="D368" s="627"/>
      <c r="E368" s="628">
        <f>(E353/1000)/E363</f>
        <v>0.12217269732288695</v>
      </c>
      <c r="F368" s="627"/>
      <c r="G368" s="608"/>
      <c r="H368" s="628">
        <f>(H353/1000)/H363</f>
        <v>0.13045642327410284</v>
      </c>
    </row>
    <row r="369" spans="2:10" x14ac:dyDescent="0.55000000000000004">
      <c r="B369" s="641" t="str">
        <f>B364</f>
        <v>Loan book</v>
      </c>
      <c r="C369" s="630"/>
      <c r="D369" s="630"/>
      <c r="E369" s="631">
        <f>(E354/1000)/E364</f>
        <v>8.0443308843141534E-2</v>
      </c>
      <c r="F369" s="630"/>
      <c r="H369" s="631">
        <f>(H354/1000)/H364</f>
        <v>7.3231984736999975E-2</v>
      </c>
    </row>
    <row r="370" spans="2:10" x14ac:dyDescent="0.55000000000000004">
      <c r="B370" s="641"/>
      <c r="C370" s="630"/>
      <c r="D370" s="630"/>
      <c r="E370" s="630"/>
      <c r="F370" s="630"/>
    </row>
    <row r="371" spans="2:10" x14ac:dyDescent="0.55000000000000004">
      <c r="B371" s="641" t="s">
        <v>516</v>
      </c>
      <c r="C371" s="630"/>
      <c r="D371" s="630"/>
      <c r="E371" s="630">
        <v>1415</v>
      </c>
      <c r="F371" s="630">
        <v>375</v>
      </c>
      <c r="H371" s="630">
        <v>488.7</v>
      </c>
      <c r="I371" s="567">
        <v>404.7</v>
      </c>
      <c r="J371" s="567">
        <v>212.1</v>
      </c>
    </row>
    <row r="372" spans="2:10" x14ac:dyDescent="0.55000000000000004">
      <c r="B372" s="641" t="s">
        <v>565</v>
      </c>
      <c r="C372" s="630"/>
      <c r="D372" s="630"/>
      <c r="E372" s="630">
        <f>E371-E358</f>
        <v>622.29999999999995</v>
      </c>
      <c r="F372" s="630"/>
      <c r="H372" s="630"/>
    </row>
    <row r="373" spans="2:10" x14ac:dyDescent="0.55000000000000004">
      <c r="B373" s="641" t="s">
        <v>566</v>
      </c>
      <c r="C373" s="630"/>
      <c r="D373" s="630"/>
      <c r="E373" s="650">
        <f>E372/E357</f>
        <v>0.15321925397020805</v>
      </c>
      <c r="F373" s="630"/>
      <c r="H373" s="630"/>
    </row>
    <row r="374" spans="2:10" x14ac:dyDescent="0.55000000000000004">
      <c r="B374" s="641"/>
      <c r="C374" s="630"/>
      <c r="D374" s="630"/>
      <c r="E374" s="630"/>
      <c r="F374" s="630"/>
    </row>
    <row r="375" spans="2:10" x14ac:dyDescent="0.55000000000000004">
      <c r="B375" s="642" t="s">
        <v>561</v>
      </c>
      <c r="C375" s="630"/>
      <c r="D375" s="630"/>
      <c r="E375" s="630"/>
      <c r="F375" s="630"/>
    </row>
    <row r="376" spans="2:10" x14ac:dyDescent="0.55000000000000004">
      <c r="B376" s="641" t="str">
        <f>B359</f>
        <v>Loan book</v>
      </c>
      <c r="C376" s="631"/>
      <c r="D376" s="630"/>
      <c r="E376" s="631">
        <f>E350*(4/3)/(E359*1000)</f>
        <v>7.7174955021768077E-2</v>
      </c>
      <c r="F376" s="630"/>
    </row>
    <row r="377" spans="2:10" x14ac:dyDescent="0.55000000000000004">
      <c r="B377" s="641" t="str">
        <f>B357</f>
        <v>Credit cards</v>
      </c>
      <c r="C377" s="630"/>
      <c r="D377" s="630"/>
      <c r="E377" s="631">
        <f>E342*(4/3)/(E357*1000)</f>
        <v>6.073749435758545E-2</v>
      </c>
      <c r="F377" s="630"/>
    </row>
    <row r="378" spans="2:10" x14ac:dyDescent="0.55000000000000004">
      <c r="B378" s="641" t="str">
        <f>B358</f>
        <v>Personal loans</v>
      </c>
      <c r="C378" s="630"/>
      <c r="D378" s="630"/>
      <c r="E378" s="631">
        <f>E348*(4/3)/(E358*1000)</f>
        <v>0.16139439047979479</v>
      </c>
      <c r="F378" s="630"/>
    </row>
    <row r="379" spans="2:10" x14ac:dyDescent="0.55000000000000004">
      <c r="B379" s="641"/>
      <c r="C379" s="630"/>
      <c r="D379" s="630"/>
      <c r="E379" s="630"/>
      <c r="F379" s="630"/>
    </row>
    <row r="380" spans="2:10" x14ac:dyDescent="0.55000000000000004">
      <c r="B380" s="567"/>
      <c r="C380" s="630"/>
      <c r="D380" s="630"/>
      <c r="E380" s="630"/>
      <c r="F380" s="630"/>
    </row>
    <row r="381" spans="2:10" x14ac:dyDescent="0.55000000000000004">
      <c r="B381" s="645" t="s">
        <v>156</v>
      </c>
      <c r="C381" s="619" t="s">
        <v>560</v>
      </c>
      <c r="D381" s="619">
        <v>2020</v>
      </c>
      <c r="E381" s="619" t="s">
        <v>376</v>
      </c>
      <c r="F381" s="630"/>
      <c r="G381" s="651"/>
      <c r="H381" s="651"/>
      <c r="I381" s="651"/>
    </row>
    <row r="382" spans="2:10" x14ac:dyDescent="0.55000000000000004">
      <c r="B382" s="652" t="s">
        <v>452</v>
      </c>
      <c r="C382" s="653"/>
      <c r="D382" s="653"/>
      <c r="E382" s="653"/>
      <c r="F382" s="630"/>
      <c r="G382" s="651"/>
      <c r="H382" s="651"/>
      <c r="I382" s="651"/>
    </row>
    <row r="383" spans="2:10" x14ac:dyDescent="0.55000000000000004">
      <c r="B383" s="641" t="s">
        <v>218</v>
      </c>
      <c r="C383" s="630">
        <v>137.4</v>
      </c>
      <c r="D383" s="630">
        <v>237.95599999999999</v>
      </c>
      <c r="E383" s="630">
        <v>589</v>
      </c>
      <c r="F383" s="630"/>
      <c r="G383" s="651"/>
      <c r="H383" s="651"/>
      <c r="I383" s="651"/>
    </row>
    <row r="384" spans="2:10" x14ac:dyDescent="0.55000000000000004">
      <c r="B384" s="654" t="s">
        <v>591</v>
      </c>
      <c r="C384" s="623">
        <v>146.80000000000001</v>
      </c>
      <c r="D384" s="623">
        <v>241</v>
      </c>
      <c r="E384" s="623">
        <v>456</v>
      </c>
      <c r="F384" s="630"/>
      <c r="G384" s="651"/>
      <c r="H384" s="651"/>
      <c r="I384" s="651"/>
    </row>
    <row r="385" spans="2:15" x14ac:dyDescent="0.55000000000000004">
      <c r="B385" s="648" t="s">
        <v>345</v>
      </c>
      <c r="C385" s="627">
        <v>0</v>
      </c>
      <c r="D385" s="627">
        <v>0</v>
      </c>
      <c r="E385" s="627">
        <v>81</v>
      </c>
      <c r="F385" s="630"/>
      <c r="G385" s="651"/>
      <c r="H385" s="651"/>
      <c r="I385" s="651"/>
    </row>
    <row r="386" spans="2:15" x14ac:dyDescent="0.55000000000000004">
      <c r="B386" s="654" t="s">
        <v>592</v>
      </c>
      <c r="C386" s="623">
        <f>SUM(C383:C385)</f>
        <v>284.20000000000005</v>
      </c>
      <c r="D386" s="623">
        <f>SUM(D383:D385)</f>
        <v>478.95600000000002</v>
      </c>
      <c r="E386" s="623">
        <f>SUM(E383:E385)</f>
        <v>1126</v>
      </c>
      <c r="F386" s="630"/>
      <c r="G386" s="651"/>
      <c r="H386" s="651"/>
      <c r="I386" s="651"/>
    </row>
    <row r="387" spans="2:15" x14ac:dyDescent="0.55000000000000004">
      <c r="B387" s="648" t="s">
        <v>593</v>
      </c>
      <c r="C387" s="627">
        <f>D387/D386*C386</f>
        <v>46.283165885801623</v>
      </c>
      <c r="D387" s="627">
        <v>78</v>
      </c>
      <c r="E387" s="627">
        <v>322</v>
      </c>
      <c r="F387" s="630"/>
      <c r="G387" s="651"/>
      <c r="H387" s="651"/>
      <c r="I387" s="651"/>
    </row>
    <row r="388" spans="2:15" ht="15.6" thickBot="1" x14ac:dyDescent="0.6">
      <c r="B388" s="654" t="s">
        <v>590</v>
      </c>
      <c r="C388" s="623">
        <f>C386-C387</f>
        <v>237.91683411419842</v>
      </c>
      <c r="D388" s="623">
        <f>D386-D387</f>
        <v>400.95600000000002</v>
      </c>
      <c r="E388" s="623">
        <f>E386-E387</f>
        <v>804</v>
      </c>
      <c r="F388" s="630"/>
      <c r="G388" s="651"/>
      <c r="H388" s="651"/>
      <c r="I388" s="651"/>
    </row>
    <row r="389" spans="2:15" ht="15.6" thickBot="1" x14ac:dyDescent="0.6">
      <c r="B389" s="655" t="s">
        <v>594</v>
      </c>
      <c r="C389" s="656">
        <f>C388-(C385/C386)*C387</f>
        <v>237.91683411419842</v>
      </c>
      <c r="D389" s="656">
        <f>D388-(D385/D386)*D387</f>
        <v>400.95600000000002</v>
      </c>
      <c r="E389" s="657">
        <f>E388-(E385/E386)*E387</f>
        <v>780.83658969804617</v>
      </c>
      <c r="F389" s="630"/>
      <c r="G389" s="651"/>
      <c r="H389" s="651"/>
      <c r="I389" s="651"/>
    </row>
    <row r="390" spans="2:15" x14ac:dyDescent="0.55000000000000004">
      <c r="B390" s="654"/>
      <c r="C390" s="623"/>
      <c r="D390" s="623"/>
      <c r="E390" s="623"/>
      <c r="F390" s="630"/>
      <c r="G390" s="651"/>
      <c r="H390" s="651"/>
      <c r="I390" s="651"/>
    </row>
    <row r="391" spans="2:15" x14ac:dyDescent="0.55000000000000004">
      <c r="B391" s="658" t="s">
        <v>132</v>
      </c>
      <c r="C391" s="630"/>
      <c r="D391" s="630"/>
      <c r="E391" s="630"/>
      <c r="F391" s="630"/>
      <c r="G391" s="651"/>
      <c r="H391" s="651"/>
      <c r="I391" s="651"/>
    </row>
    <row r="392" spans="2:15" ht="15.6" thickBot="1" x14ac:dyDescent="0.6">
      <c r="B392" s="654" t="s">
        <v>106</v>
      </c>
      <c r="C392" s="623"/>
      <c r="D392" s="623">
        <f>H357</f>
        <v>2908.9</v>
      </c>
      <c r="E392" s="623">
        <f>E357</f>
        <v>4061.5</v>
      </c>
      <c r="F392" s="630"/>
      <c r="G392" s="651"/>
      <c r="H392" s="651"/>
      <c r="I392" s="651"/>
    </row>
    <row r="393" spans="2:15" ht="15.6" thickBot="1" x14ac:dyDescent="0.6">
      <c r="B393" s="659" t="s">
        <v>218</v>
      </c>
      <c r="C393" s="656">
        <v>133</v>
      </c>
      <c r="D393" s="656">
        <f>H358</f>
        <v>174.7</v>
      </c>
      <c r="E393" s="657">
        <f>E358</f>
        <v>792.7</v>
      </c>
      <c r="F393" s="563"/>
      <c r="G393" s="651"/>
      <c r="H393" s="651"/>
      <c r="I393" s="651"/>
    </row>
    <row r="394" spans="2:15" x14ac:dyDescent="0.55000000000000004">
      <c r="B394" s="660" t="s">
        <v>595</v>
      </c>
      <c r="C394" s="660"/>
      <c r="D394" s="661">
        <f>D392+D393</f>
        <v>3083.6</v>
      </c>
      <c r="E394" s="661">
        <f>E392+E393</f>
        <v>4854.2</v>
      </c>
      <c r="F394" s="563"/>
      <c r="G394" s="651"/>
      <c r="H394" s="651"/>
      <c r="I394" s="651"/>
    </row>
    <row r="395" spans="2:15" x14ac:dyDescent="0.55000000000000004">
      <c r="B395" s="563"/>
      <c r="C395" s="563"/>
      <c r="D395" s="563"/>
      <c r="E395" s="563"/>
      <c r="F395" s="563"/>
      <c r="G395" s="651"/>
      <c r="H395" s="651"/>
      <c r="I395" s="651"/>
    </row>
    <row r="396" spans="2:15" x14ac:dyDescent="0.55000000000000004">
      <c r="B396" s="592" t="s">
        <v>156</v>
      </c>
      <c r="C396" s="619" t="str">
        <f t="shared" ref="C396:N396" si="9">C405</f>
        <v>Q1 20</v>
      </c>
      <c r="D396" s="619" t="str">
        <f t="shared" si="9"/>
        <v>Q2 20</v>
      </c>
      <c r="E396" s="619" t="str">
        <f t="shared" si="9"/>
        <v>Q3 20</v>
      </c>
      <c r="F396" s="619" t="str">
        <f t="shared" si="9"/>
        <v>Q4 20</v>
      </c>
      <c r="G396" s="619" t="str">
        <f t="shared" si="9"/>
        <v>Q1 21</v>
      </c>
      <c r="H396" s="619" t="str">
        <f t="shared" si="9"/>
        <v>Q2 21</v>
      </c>
      <c r="I396" s="619" t="str">
        <f t="shared" si="9"/>
        <v>Q3 21</v>
      </c>
      <c r="J396" s="662" t="e">
        <f t="shared" si="9"/>
        <v>#REF!</v>
      </c>
      <c r="K396" s="662" t="e">
        <f t="shared" si="9"/>
        <v>#REF!</v>
      </c>
      <c r="L396" s="662" t="e">
        <f t="shared" si="9"/>
        <v>#REF!</v>
      </c>
      <c r="M396" s="662" t="e">
        <f t="shared" si="9"/>
        <v>#REF!</v>
      </c>
      <c r="N396" s="662" t="e">
        <f t="shared" si="9"/>
        <v>#REF!</v>
      </c>
      <c r="O396" s="567" t="s">
        <v>575</v>
      </c>
    </row>
    <row r="397" spans="2:15" x14ac:dyDescent="0.55000000000000004">
      <c r="B397" s="663" t="s">
        <v>452</v>
      </c>
      <c r="C397" s="653"/>
      <c r="D397" s="653"/>
      <c r="E397" s="653"/>
      <c r="F397" s="653"/>
      <c r="G397" s="653"/>
      <c r="H397" s="653"/>
      <c r="I397" s="653"/>
      <c r="J397" s="664"/>
      <c r="K397" s="664"/>
      <c r="L397" s="664"/>
      <c r="M397" s="664"/>
      <c r="N397" s="664"/>
    </row>
    <row r="398" spans="2:15" x14ac:dyDescent="0.55000000000000004">
      <c r="B398" s="563" t="s">
        <v>622</v>
      </c>
      <c r="C398" s="651">
        <v>26.831250000000011</v>
      </c>
      <c r="D398" s="651">
        <v>27.427499999999995</v>
      </c>
      <c r="E398" s="651">
        <v>54.948750000000018</v>
      </c>
      <c r="F398" s="651">
        <v>82.976249999999993</v>
      </c>
      <c r="G398" s="651">
        <v>114.73125</v>
      </c>
      <c r="H398" s="651">
        <v>150.72749999999999</v>
      </c>
      <c r="I398" s="651">
        <v>210.64875000000001</v>
      </c>
      <c r="J398" s="665">
        <v>269.64821139999998</v>
      </c>
      <c r="K398" s="665">
        <v>355.090693875</v>
      </c>
      <c r="L398" s="665">
        <v>434.778193875</v>
      </c>
      <c r="M398" s="665">
        <v>514.46569387499994</v>
      </c>
      <c r="N398" s="665">
        <v>596.41905056250016</v>
      </c>
    </row>
    <row r="399" spans="2:15" x14ac:dyDescent="0.55000000000000004">
      <c r="B399" s="622" t="s">
        <v>623</v>
      </c>
      <c r="C399" s="666">
        <v>-1.0184999999999997</v>
      </c>
      <c r="D399" s="666">
        <v>-0.91612499999999986</v>
      </c>
      <c r="E399" s="666">
        <v>-1.1917499999999999</v>
      </c>
      <c r="F399" s="666"/>
      <c r="G399" s="666">
        <v>-2.7693749999999997</v>
      </c>
      <c r="H399" s="666">
        <v>-8.4892500000000002</v>
      </c>
      <c r="I399" s="666">
        <v>-16.94875</v>
      </c>
      <c r="J399" s="667">
        <v>-25.452521542500001</v>
      </c>
      <c r="K399" s="667">
        <v>-33.942492796875001</v>
      </c>
      <c r="L399" s="667">
        <v>-41.559680296875001</v>
      </c>
      <c r="M399" s="667">
        <v>-47.209793085000001</v>
      </c>
      <c r="N399" s="667">
        <v>-54.574274503125004</v>
      </c>
    </row>
    <row r="400" spans="2:15" x14ac:dyDescent="0.55000000000000004">
      <c r="B400" s="563" t="s">
        <v>624</v>
      </c>
      <c r="C400" s="651">
        <v>-0.39285000000000003</v>
      </c>
      <c r="D400" s="651">
        <v>-0.35336250000000008</v>
      </c>
      <c r="E400" s="651">
        <v>-0.45967500000000006</v>
      </c>
      <c r="F400" s="651"/>
      <c r="G400" s="651">
        <v>-1.1868750000000001</v>
      </c>
      <c r="H400" s="651">
        <v>-3.6382500000000007</v>
      </c>
      <c r="I400" s="651">
        <v>-7.2637500000000017</v>
      </c>
      <c r="J400" s="665">
        <v>-13.7052039075</v>
      </c>
      <c r="K400" s="665">
        <v>-18.276726890625</v>
      </c>
      <c r="L400" s="665">
        <v>-24.935808178125001</v>
      </c>
      <c r="M400" s="665">
        <v>-31.473195390000004</v>
      </c>
      <c r="N400" s="665">
        <v>-36.382849668750005</v>
      </c>
    </row>
    <row r="401" spans="2:14" ht="15.6" thickBot="1" x14ac:dyDescent="0.6">
      <c r="B401" s="622" t="s">
        <v>597</v>
      </c>
      <c r="C401" s="666">
        <v>-24.4</v>
      </c>
      <c r="D401" s="666">
        <v>-10.200000000000003</v>
      </c>
      <c r="E401" s="666">
        <v>-14.399999999999999</v>
      </c>
      <c r="F401" s="622"/>
      <c r="G401" s="666">
        <v>-86</v>
      </c>
      <c r="H401" s="666">
        <v>-81.025000000000006</v>
      </c>
      <c r="I401" s="666">
        <v>-104.77500000000001</v>
      </c>
      <c r="J401" s="667">
        <v>-134.12085924761004</v>
      </c>
      <c r="K401" s="667">
        <v>-176.61926524963062</v>
      </c>
      <c r="L401" s="667">
        <v>-216.25518909204601</v>
      </c>
      <c r="M401" s="667">
        <v>-255.89111293446138</v>
      </c>
      <c r="N401" s="667">
        <v>-296.65405573347078</v>
      </c>
    </row>
    <row r="402" spans="2:14" ht="15.6" thickBot="1" x14ac:dyDescent="0.6">
      <c r="B402" s="659" t="s">
        <v>598</v>
      </c>
      <c r="C402" s="668">
        <f>C398+C401+C399+C400</f>
        <v>1.0199000000000131</v>
      </c>
      <c r="D402" s="668">
        <f>D398+D401+D399+D400</f>
        <v>15.958012499999992</v>
      </c>
      <c r="E402" s="668">
        <f>E398+E401+E399+E400</f>
        <v>38.897325000000023</v>
      </c>
      <c r="F402" s="668"/>
      <c r="G402" s="668">
        <f t="shared" ref="G402:N402" si="10">G398+G401+G399+G400</f>
        <v>24.775000000000002</v>
      </c>
      <c r="H402" s="668">
        <f t="shared" si="10"/>
        <v>57.574999999999989</v>
      </c>
      <c r="I402" s="668">
        <f t="shared" si="10"/>
        <v>81.661249999999995</v>
      </c>
      <c r="J402" s="669">
        <f t="shared" si="10"/>
        <v>96.369626702389951</v>
      </c>
      <c r="K402" s="669">
        <f t="shared" si="10"/>
        <v>126.25220893786938</v>
      </c>
      <c r="L402" s="669">
        <f t="shared" si="10"/>
        <v>152.02751630795399</v>
      </c>
      <c r="M402" s="669">
        <f t="shared" si="10"/>
        <v>179.89159246553857</v>
      </c>
      <c r="N402" s="670">
        <f t="shared" si="10"/>
        <v>208.80787065715438</v>
      </c>
    </row>
    <row r="403" spans="2:14" x14ac:dyDescent="0.55000000000000004">
      <c r="B403" s="671" t="s">
        <v>601</v>
      </c>
      <c r="C403" s="672">
        <v>2.9128865979381718E-2</v>
      </c>
      <c r="D403" s="672">
        <v>0.37389971346704853</v>
      </c>
      <c r="E403" s="672">
        <v>0.693515418502203</v>
      </c>
      <c r="F403" s="672"/>
      <c r="G403" s="672">
        <v>0.1968672985781991</v>
      </c>
      <c r="H403" s="672">
        <v>0.35332323232323226</v>
      </c>
      <c r="I403" s="672">
        <v>0.36726897263810021</v>
      </c>
      <c r="J403" s="673">
        <v>0.33732755213407811</v>
      </c>
      <c r="K403" s="673">
        <v>0.3459668123475691</v>
      </c>
      <c r="L403" s="673">
        <v>0.3459668123475691</v>
      </c>
      <c r="M403" s="673">
        <v>0.34921681234756907</v>
      </c>
      <c r="N403" s="673">
        <v>0.35043757080683541</v>
      </c>
    </row>
    <row r="404" spans="2:14" x14ac:dyDescent="0.55000000000000004">
      <c r="B404" s="569"/>
      <c r="C404" s="569"/>
      <c r="D404" s="674"/>
      <c r="E404" s="674"/>
      <c r="F404" s="674"/>
      <c r="G404" s="674"/>
      <c r="H404" s="674"/>
      <c r="I404" s="674"/>
      <c r="J404" s="675"/>
      <c r="K404" s="675"/>
      <c r="L404" s="675"/>
      <c r="M404" s="675"/>
      <c r="N404" s="675"/>
    </row>
    <row r="405" spans="2:14" x14ac:dyDescent="0.55000000000000004">
      <c r="B405" s="676" t="s">
        <v>156</v>
      </c>
      <c r="C405" s="677" t="str">
        <f>Quarts!D2</f>
        <v>Q1 20</v>
      </c>
      <c r="D405" s="677" t="str">
        <f>Quarts!E2</f>
        <v>Q2 20</v>
      </c>
      <c r="E405" s="677" t="str">
        <f>Quarts!F2</f>
        <v>Q3 20</v>
      </c>
      <c r="F405" s="677" t="str">
        <f>Quarts!G2</f>
        <v>Q4 20</v>
      </c>
      <c r="G405" s="677" t="str">
        <f>Quarts!H2</f>
        <v>Q1 21</v>
      </c>
      <c r="H405" s="677" t="str">
        <f>Quarts!I2</f>
        <v>Q2 21</v>
      </c>
      <c r="I405" s="677" t="str">
        <f>Quarts!J2</f>
        <v>Q3 21</v>
      </c>
      <c r="J405" s="678" t="e">
        <f>Quarts!#REF!</f>
        <v>#REF!</v>
      </c>
      <c r="K405" s="678" t="e">
        <f>Quarts!#REF!</f>
        <v>#REF!</v>
      </c>
      <c r="L405" s="678" t="e">
        <f>Quarts!#REF!</f>
        <v>#REF!</v>
      </c>
      <c r="M405" s="678" t="e">
        <f>Quarts!#REF!</f>
        <v>#REF!</v>
      </c>
      <c r="N405" s="678" t="e">
        <f>Quarts!#REF!</f>
        <v>#REF!</v>
      </c>
    </row>
    <row r="406" spans="2:14" x14ac:dyDescent="0.55000000000000004">
      <c r="B406" s="679" t="s">
        <v>132</v>
      </c>
      <c r="C406" s="680"/>
      <c r="D406" s="680"/>
      <c r="E406" s="680"/>
      <c r="F406" s="680"/>
      <c r="G406" s="680"/>
      <c r="H406" s="680"/>
      <c r="I406" s="680"/>
      <c r="J406" s="681"/>
      <c r="K406" s="681"/>
      <c r="L406" s="681"/>
      <c r="M406" s="681"/>
      <c r="N406" s="681"/>
    </row>
    <row r="407" spans="2:14" x14ac:dyDescent="0.55000000000000004">
      <c r="B407" s="622" t="s">
        <v>414</v>
      </c>
      <c r="C407" s="666">
        <f>Quarts!D7</f>
        <v>131.1</v>
      </c>
      <c r="D407" s="666">
        <f>Quarts!E7</f>
        <v>91.9</v>
      </c>
      <c r="E407" s="666">
        <f>Quarts!F7</f>
        <v>70.2</v>
      </c>
      <c r="F407" s="666">
        <f>Quarts!G7</f>
        <v>89.7</v>
      </c>
      <c r="G407" s="666">
        <f>Quarts!H7</f>
        <v>127.3</v>
      </c>
      <c r="H407" s="666">
        <f>Quarts!I7</f>
        <v>184.9</v>
      </c>
      <c r="I407" s="666">
        <f>Quarts!J7</f>
        <v>295</v>
      </c>
      <c r="J407" s="667" t="e">
        <f>Quarts!#REF!</f>
        <v>#REF!</v>
      </c>
      <c r="K407" s="667" t="e">
        <f>Quarts!#REF!</f>
        <v>#REF!</v>
      </c>
      <c r="L407" s="667" t="e">
        <f>Quarts!#REF!</f>
        <v>#REF!</v>
      </c>
      <c r="M407" s="667" t="e">
        <f>Quarts!#REF!</f>
        <v>#REF!</v>
      </c>
      <c r="N407" s="667" t="e">
        <f>Quarts!#REF!</f>
        <v>#REF!</v>
      </c>
    </row>
    <row r="408" spans="2:14" x14ac:dyDescent="0.55000000000000004">
      <c r="B408" s="563" t="s">
        <v>596</v>
      </c>
      <c r="C408" s="651">
        <f>Quarts!D25</f>
        <v>0</v>
      </c>
      <c r="D408" s="651">
        <f>Quarts!E25</f>
        <v>-25.3</v>
      </c>
      <c r="E408" s="651">
        <f>Quarts!F25</f>
        <v>-24</v>
      </c>
      <c r="F408" s="651">
        <f>Quarts!G25</f>
        <v>-31.4</v>
      </c>
      <c r="G408" s="651">
        <f>Quarts!H25</f>
        <v>-31.7</v>
      </c>
      <c r="H408" s="651">
        <f>Quarts!I25</f>
        <v>-57.2</v>
      </c>
      <c r="I408" s="651">
        <f>Quarts!J25</f>
        <v>-101.4</v>
      </c>
      <c r="J408" s="665" t="e">
        <f>Quarts!#REF!</f>
        <v>#REF!</v>
      </c>
      <c r="K408" s="665" t="e">
        <f>Quarts!#REF!</f>
        <v>#REF!</v>
      </c>
      <c r="L408" s="665" t="e">
        <f>Quarts!#REF!</f>
        <v>#REF!</v>
      </c>
      <c r="M408" s="665" t="e">
        <f>Quarts!#REF!</f>
        <v>#REF!</v>
      </c>
      <c r="N408" s="665" t="e">
        <f>Quarts!#REF!</f>
        <v>#REF!</v>
      </c>
    </row>
    <row r="409" spans="2:14" ht="15.6" thickBot="1" x14ac:dyDescent="0.6">
      <c r="B409" s="622" t="s">
        <v>597</v>
      </c>
      <c r="C409" s="622"/>
      <c r="D409" s="666">
        <f>Quarts!E38</f>
        <v>-19</v>
      </c>
      <c r="E409" s="666">
        <f>Quarts!F38</f>
        <v>-32.9</v>
      </c>
      <c r="F409" s="666">
        <f>Quarts!G38</f>
        <v>-55.6</v>
      </c>
      <c r="G409" s="666">
        <f>Quarts!H38</f>
        <v>-71.3</v>
      </c>
      <c r="H409" s="666">
        <f>Quarts!I38</f>
        <v>-82.7</v>
      </c>
      <c r="I409" s="666">
        <f>Quarts!J38</f>
        <v>-127</v>
      </c>
      <c r="J409" s="667" t="e">
        <f>Quarts!#REF!</f>
        <v>#REF!</v>
      </c>
      <c r="K409" s="667" t="e">
        <f>Quarts!#REF!</f>
        <v>#REF!</v>
      </c>
      <c r="L409" s="667" t="e">
        <f>Quarts!#REF!</f>
        <v>#REF!</v>
      </c>
      <c r="M409" s="667" t="e">
        <f>Quarts!#REF!</f>
        <v>#REF!</v>
      </c>
      <c r="N409" s="667" t="e">
        <f>Quarts!#REF!</f>
        <v>#REF!</v>
      </c>
    </row>
    <row r="410" spans="2:14" ht="15.6" thickBot="1" x14ac:dyDescent="0.6">
      <c r="B410" s="659" t="s">
        <v>598</v>
      </c>
      <c r="C410" s="603"/>
      <c r="D410" s="668">
        <f t="shared" ref="D410:N410" si="11">D407+D408+D409</f>
        <v>47.600000000000009</v>
      </c>
      <c r="E410" s="668">
        <f t="shared" si="11"/>
        <v>13.300000000000004</v>
      </c>
      <c r="F410" s="668">
        <f t="shared" si="11"/>
        <v>2.7000000000000028</v>
      </c>
      <c r="G410" s="668">
        <f t="shared" si="11"/>
        <v>24.299999999999997</v>
      </c>
      <c r="H410" s="668">
        <f t="shared" si="11"/>
        <v>45</v>
      </c>
      <c r="I410" s="668">
        <f t="shared" si="11"/>
        <v>66.599999999999994</v>
      </c>
      <c r="J410" s="669" t="e">
        <f t="shared" si="11"/>
        <v>#REF!</v>
      </c>
      <c r="K410" s="669" t="e">
        <f t="shared" si="11"/>
        <v>#REF!</v>
      </c>
      <c r="L410" s="669" t="e">
        <f t="shared" si="11"/>
        <v>#REF!</v>
      </c>
      <c r="M410" s="669" t="e">
        <f t="shared" si="11"/>
        <v>#REF!</v>
      </c>
      <c r="N410" s="670" t="e">
        <f t="shared" si="11"/>
        <v>#REF!</v>
      </c>
    </row>
    <row r="411" spans="2:14" x14ac:dyDescent="0.55000000000000004">
      <c r="B411" s="671" t="s">
        <v>601</v>
      </c>
      <c r="C411" s="622"/>
      <c r="D411" s="672"/>
      <c r="E411" s="672"/>
      <c r="F411" s="672"/>
      <c r="G411" s="672">
        <f>(G410*4)/AVERAGE(Quarts!G218,Quarts!H218)</f>
        <v>2.9086121252019863E-2</v>
      </c>
      <c r="H411" s="672">
        <f>(H410*4)/AVERAGE(Quarts!H218,Quarts!I218)</f>
        <v>4.6153846153846156E-2</v>
      </c>
      <c r="I411" s="672">
        <f>(I410*4)/AVERAGE(Quarts!I218,Quarts!J218)</f>
        <v>5.8845618607938847E-2</v>
      </c>
      <c r="J411" s="673" t="e">
        <f>(J410*4)/AVERAGE(Quarts!J218,Quarts!#REF!)</f>
        <v>#REF!</v>
      </c>
      <c r="K411" s="673" t="e">
        <f>(K410*4)/AVERAGE(Quarts!L218,Quarts!#REF!)</f>
        <v>#REF!</v>
      </c>
      <c r="L411" s="673" t="e">
        <f>(L410*4)/AVERAGE(Quarts!#REF!,Quarts!#REF!)</f>
        <v>#REF!</v>
      </c>
      <c r="M411" s="673" t="e">
        <f>(M410*4)/AVERAGE(Quarts!#REF!,Quarts!#REF!)</f>
        <v>#REF!</v>
      </c>
      <c r="N411" s="673" t="e">
        <f>(N410*4)/AVERAGE(Quarts!#REF!,Quarts!#REF!)</f>
        <v>#REF!</v>
      </c>
    </row>
    <row r="412" spans="2:14" x14ac:dyDescent="0.55000000000000004">
      <c r="B412" s="563"/>
      <c r="C412" s="563"/>
      <c r="D412" s="651"/>
      <c r="E412" s="651"/>
      <c r="F412" s="651"/>
      <c r="G412" s="651"/>
      <c r="H412" s="651"/>
      <c r="I412" s="651"/>
    </row>
    <row r="413" spans="2:14" x14ac:dyDescent="0.55000000000000004">
      <c r="B413" s="567" t="s">
        <v>621</v>
      </c>
      <c r="C413" s="567"/>
      <c r="D413" s="554"/>
      <c r="E413" s="554"/>
      <c r="F413" s="651"/>
      <c r="G413" s="651"/>
      <c r="H413" s="651"/>
      <c r="I413" s="651"/>
    </row>
    <row r="414" spans="2:14" x14ac:dyDescent="0.55000000000000004">
      <c r="B414" s="567"/>
      <c r="C414" s="567"/>
      <c r="D414" s="554"/>
      <c r="E414" s="554"/>
      <c r="F414" s="651"/>
      <c r="G414" s="651"/>
      <c r="H414" s="651"/>
      <c r="I414" s="651"/>
    </row>
    <row r="415" spans="2:14" ht="45.9" x14ac:dyDescent="0.55000000000000004">
      <c r="B415" s="684" t="s">
        <v>611</v>
      </c>
      <c r="C415" s="685" t="s">
        <v>305</v>
      </c>
      <c r="D415" s="684" t="s">
        <v>612</v>
      </c>
      <c r="E415" s="686" t="s">
        <v>613</v>
      </c>
      <c r="F415" s="651"/>
      <c r="G415" s="651"/>
      <c r="H415" s="651"/>
      <c r="I415" s="651"/>
    </row>
    <row r="416" spans="2:14" x14ac:dyDescent="0.55000000000000004">
      <c r="B416" s="634" t="s">
        <v>228</v>
      </c>
      <c r="C416" s="634">
        <v>212</v>
      </c>
      <c r="D416" s="688">
        <v>0.3</v>
      </c>
      <c r="E416" s="688">
        <v>0.67</v>
      </c>
      <c r="F416" s="651"/>
      <c r="G416" s="651"/>
      <c r="H416" s="651"/>
      <c r="I416" s="651"/>
    </row>
    <row r="417" spans="2:22" x14ac:dyDescent="0.55000000000000004">
      <c r="B417" s="567" t="s">
        <v>614</v>
      </c>
      <c r="C417" s="567">
        <v>331</v>
      </c>
      <c r="D417" s="594">
        <v>7.0000000000000007E-2</v>
      </c>
      <c r="E417" s="594">
        <v>0.89</v>
      </c>
      <c r="F417" s="651"/>
      <c r="G417" s="651"/>
      <c r="H417" s="651"/>
      <c r="I417" s="651"/>
    </row>
    <row r="418" spans="2:22" x14ac:dyDescent="0.55000000000000004">
      <c r="B418" s="634" t="s">
        <v>229</v>
      </c>
      <c r="C418" s="634">
        <v>129</v>
      </c>
      <c r="D418" s="688">
        <v>0.63</v>
      </c>
      <c r="E418" s="688">
        <v>0.66</v>
      </c>
      <c r="F418" s="651"/>
      <c r="G418" s="651"/>
      <c r="H418" s="651"/>
      <c r="I418" s="651"/>
    </row>
    <row r="419" spans="2:22" x14ac:dyDescent="0.55000000000000004">
      <c r="B419" s="567" t="s">
        <v>615</v>
      </c>
      <c r="C419" s="567">
        <v>273</v>
      </c>
      <c r="D419" s="594">
        <v>0.51</v>
      </c>
      <c r="E419" s="594">
        <v>0.55000000000000004</v>
      </c>
      <c r="F419" s="563"/>
      <c r="G419" s="651"/>
      <c r="H419" s="651"/>
      <c r="I419" s="651"/>
    </row>
    <row r="420" spans="2:22" x14ac:dyDescent="0.55000000000000004">
      <c r="B420" s="634" t="s">
        <v>616</v>
      </c>
      <c r="C420" s="634">
        <v>110</v>
      </c>
      <c r="D420" s="688">
        <v>0.66</v>
      </c>
      <c r="E420" s="688">
        <v>0.6</v>
      </c>
      <c r="F420" s="563"/>
      <c r="G420" s="651"/>
      <c r="H420" s="651"/>
      <c r="I420" s="651"/>
    </row>
    <row r="421" spans="2:22" x14ac:dyDescent="0.55000000000000004">
      <c r="B421" s="567" t="s">
        <v>617</v>
      </c>
      <c r="C421" s="567">
        <v>97</v>
      </c>
      <c r="D421" s="594">
        <v>0.69</v>
      </c>
      <c r="E421" s="594">
        <v>0.66</v>
      </c>
      <c r="F421" s="563"/>
      <c r="G421" s="651"/>
      <c r="H421" s="651"/>
      <c r="I421" s="651"/>
    </row>
    <row r="422" spans="2:22" x14ac:dyDescent="0.55000000000000004">
      <c r="B422" s="634" t="s">
        <v>230</v>
      </c>
      <c r="C422" s="634">
        <v>51</v>
      </c>
      <c r="D422" s="688">
        <v>0.54</v>
      </c>
      <c r="E422" s="688">
        <v>0.62</v>
      </c>
      <c r="F422" s="563"/>
      <c r="G422" s="651"/>
      <c r="H422" s="651"/>
      <c r="I422" s="651"/>
    </row>
    <row r="423" spans="2:22" ht="35.700000000000003" customHeight="1" x14ac:dyDescent="0.55000000000000004">
      <c r="B423" s="567" t="s">
        <v>618</v>
      </c>
      <c r="C423" s="567">
        <v>45</v>
      </c>
      <c r="D423" s="594">
        <v>0.51</v>
      </c>
      <c r="E423" s="594">
        <v>0.76</v>
      </c>
      <c r="F423" s="557"/>
      <c r="G423" s="682"/>
      <c r="H423" s="682"/>
      <c r="I423" s="682"/>
      <c r="J423" s="683"/>
      <c r="K423" s="683"/>
      <c r="L423" s="683"/>
      <c r="M423" s="683"/>
      <c r="N423" s="683"/>
      <c r="V423" s="687"/>
    </row>
    <row r="424" spans="2:22" hidden="1" x14ac:dyDescent="0.55000000000000004">
      <c r="B424" s="634" t="s">
        <v>619</v>
      </c>
      <c r="C424" s="634">
        <v>33</v>
      </c>
      <c r="D424" s="688">
        <v>0.56999999999999995</v>
      </c>
      <c r="E424" s="688">
        <v>0.49</v>
      </c>
      <c r="F424" s="563"/>
      <c r="G424" s="651"/>
      <c r="H424" s="651"/>
      <c r="I424" s="651"/>
    </row>
    <row r="425" spans="2:22" hidden="1" x14ac:dyDescent="0.55000000000000004">
      <c r="B425" s="567" t="s">
        <v>620</v>
      </c>
      <c r="C425" s="567">
        <v>19</v>
      </c>
      <c r="D425" s="594">
        <v>0.26</v>
      </c>
      <c r="E425" s="594">
        <v>0.82</v>
      </c>
      <c r="F425" s="563"/>
      <c r="G425" s="651"/>
      <c r="H425" s="651"/>
      <c r="I425" s="651"/>
    </row>
    <row r="426" spans="2:22" x14ac:dyDescent="0.55000000000000004">
      <c r="B426" s="689" t="s">
        <v>353</v>
      </c>
      <c r="C426" s="690">
        <f>SUM(C416:C425)</f>
        <v>1300</v>
      </c>
      <c r="D426" s="691">
        <v>0.27</v>
      </c>
      <c r="E426" s="554"/>
      <c r="F426" s="563"/>
      <c r="G426" s="651"/>
      <c r="H426" s="651"/>
      <c r="I426" s="651"/>
    </row>
    <row r="427" spans="2:22" x14ac:dyDescent="0.55000000000000004">
      <c r="B427" s="563"/>
      <c r="C427" s="563"/>
      <c r="D427" s="563"/>
      <c r="E427" s="563"/>
      <c r="F427" s="563"/>
      <c r="G427" s="651"/>
      <c r="H427" s="651"/>
      <c r="I427" s="651"/>
    </row>
    <row r="428" spans="2:22" x14ac:dyDescent="0.55000000000000004">
      <c r="B428" s="563"/>
      <c r="C428" s="563"/>
      <c r="D428" s="563"/>
      <c r="E428" s="563"/>
      <c r="F428" s="563"/>
      <c r="G428" s="651"/>
      <c r="H428" s="651"/>
      <c r="I428" s="651"/>
    </row>
    <row r="429" spans="2:22" x14ac:dyDescent="0.55000000000000004">
      <c r="B429" s="563"/>
      <c r="C429" s="563"/>
      <c r="D429" s="563"/>
      <c r="E429" s="563"/>
      <c r="F429" s="563"/>
      <c r="G429" s="651"/>
      <c r="H429" s="651"/>
      <c r="I429" s="651"/>
    </row>
    <row r="430" spans="2:22" x14ac:dyDescent="0.55000000000000004">
      <c r="B430" s="563"/>
      <c r="C430" s="563"/>
      <c r="D430" s="563"/>
      <c r="E430" s="563"/>
      <c r="F430" s="563"/>
      <c r="G430" s="651"/>
      <c r="H430" s="651"/>
      <c r="I430" s="651"/>
    </row>
    <row r="431" spans="2:22" x14ac:dyDescent="0.55000000000000004">
      <c r="B431" s="563"/>
      <c r="C431" s="563"/>
      <c r="D431" s="563"/>
      <c r="E431" s="563"/>
      <c r="F431" s="563"/>
      <c r="G431" s="651"/>
      <c r="H431" s="651"/>
      <c r="I431" s="651"/>
    </row>
    <row r="432" spans="2:22" x14ac:dyDescent="0.55000000000000004">
      <c r="B432" s="563"/>
      <c r="C432" s="563"/>
      <c r="D432" s="563"/>
      <c r="E432" s="563"/>
      <c r="F432" s="563"/>
      <c r="G432" s="651"/>
      <c r="H432" s="651"/>
      <c r="I432" s="651"/>
    </row>
    <row r="433" spans="2:9" x14ac:dyDescent="0.55000000000000004">
      <c r="B433" s="563"/>
      <c r="C433" s="563"/>
      <c r="D433" s="563"/>
      <c r="E433" s="563"/>
      <c r="F433" s="563"/>
      <c r="G433" s="651"/>
      <c r="H433" s="651"/>
      <c r="I433" s="651"/>
    </row>
    <row r="434" spans="2:9" x14ac:dyDescent="0.55000000000000004">
      <c r="B434" s="563"/>
      <c r="C434" s="563"/>
      <c r="D434" s="563"/>
      <c r="E434" s="563"/>
      <c r="F434" s="563"/>
      <c r="G434" s="651"/>
      <c r="H434" s="651"/>
      <c r="I434" s="651"/>
    </row>
    <row r="435" spans="2:9" x14ac:dyDescent="0.55000000000000004">
      <c r="B435" s="563"/>
      <c r="C435" s="563"/>
      <c r="D435" s="563"/>
      <c r="E435" s="563"/>
      <c r="F435" s="563"/>
      <c r="G435" s="651"/>
      <c r="H435" s="651"/>
      <c r="I435" s="651"/>
    </row>
    <row r="438" spans="2:9" x14ac:dyDescent="0.55000000000000004">
      <c r="B438" s="569" t="s">
        <v>625</v>
      </c>
      <c r="C438" s="563"/>
      <c r="D438" s="651"/>
      <c r="E438" s="651"/>
    </row>
    <row r="439" spans="2:9" x14ac:dyDescent="0.55000000000000004">
      <c r="B439" s="563"/>
      <c r="C439" s="563"/>
      <c r="D439" s="651"/>
      <c r="E439" s="651"/>
    </row>
    <row r="440" spans="2:9" x14ac:dyDescent="0.55000000000000004">
      <c r="B440" s="563" t="s">
        <v>638</v>
      </c>
      <c r="C440" s="563"/>
      <c r="D440" s="563"/>
      <c r="E440" s="651"/>
    </row>
    <row r="441" spans="2:9" x14ac:dyDescent="0.55000000000000004">
      <c r="B441" s="563" t="s">
        <v>626</v>
      </c>
      <c r="C441" s="692">
        <v>0.02</v>
      </c>
      <c r="D441" s="563" t="s">
        <v>627</v>
      </c>
      <c r="E441" s="563"/>
    </row>
    <row r="442" spans="2:9" x14ac:dyDescent="0.55000000000000004">
      <c r="B442" s="563" t="s">
        <v>628</v>
      </c>
      <c r="C442" s="693">
        <v>601</v>
      </c>
      <c r="D442" s="563"/>
      <c r="E442" s="563"/>
    </row>
    <row r="443" spans="2:9" x14ac:dyDescent="0.55000000000000004">
      <c r="B443" s="563" t="s">
        <v>634</v>
      </c>
      <c r="C443" s="694">
        <v>0.26900000000000002</v>
      </c>
      <c r="D443" s="563"/>
      <c r="E443" s="563"/>
    </row>
    <row r="444" spans="2:9" x14ac:dyDescent="0.55000000000000004">
      <c r="B444" s="563" t="s">
        <v>629</v>
      </c>
      <c r="C444" s="695">
        <f>C442/C443</f>
        <v>2234.2007434944235</v>
      </c>
      <c r="D444" s="563"/>
      <c r="E444" s="563"/>
    </row>
    <row r="445" spans="2:9" x14ac:dyDescent="0.55000000000000004">
      <c r="B445" s="552" t="s">
        <v>630</v>
      </c>
      <c r="C445" s="552">
        <f>C444*12</f>
        <v>26810.408921933082</v>
      </c>
    </row>
    <row r="447" spans="2:9" x14ac:dyDescent="0.55000000000000004">
      <c r="B447" s="552" t="s">
        <v>633</v>
      </c>
      <c r="C447" s="567">
        <f>Master!F229</f>
        <v>4441.0319999999992</v>
      </c>
    </row>
    <row r="449" spans="2:11" x14ac:dyDescent="0.55000000000000004">
      <c r="B449" s="552" t="s">
        <v>632</v>
      </c>
      <c r="C449" s="552">
        <v>2022</v>
      </c>
      <c r="D449" s="552">
        <v>2023</v>
      </c>
      <c r="E449" s="552">
        <v>2024</v>
      </c>
      <c r="F449" s="552">
        <v>2025</v>
      </c>
      <c r="G449" s="552">
        <v>2026</v>
      </c>
      <c r="H449" s="552">
        <v>2027</v>
      </c>
      <c r="I449" s="552">
        <v>2028</v>
      </c>
      <c r="J449" s="552">
        <v>2029</v>
      </c>
      <c r="K449" s="552">
        <v>2030</v>
      </c>
    </row>
    <row r="450" spans="2:11" x14ac:dyDescent="0.55000000000000004">
      <c r="B450" s="552" t="s">
        <v>629</v>
      </c>
      <c r="C450" s="580">
        <f>Drivers!G215/12</f>
        <v>2.2453250670241292</v>
      </c>
      <c r="D450" s="580">
        <f>Drivers!H215/12</f>
        <v>2.5970660276890301</v>
      </c>
      <c r="E450" s="580">
        <f>Drivers!I215/12</f>
        <v>3.8972876506666663</v>
      </c>
      <c r="F450" s="580">
        <f>Drivers!J215/12</f>
        <v>5.658704482532376</v>
      </c>
      <c r="G450" s="580">
        <f>Drivers!K215/12</f>
        <v>7.1299676479907932</v>
      </c>
      <c r="H450" s="580">
        <f>Drivers!L215/12</f>
        <v>8.9011421510234285</v>
      </c>
      <c r="I450" s="580">
        <f>Drivers!M215/12</f>
        <v>10.236313473676944</v>
      </c>
      <c r="J450" s="580">
        <f>Drivers!N215/12</f>
        <v>11.749507639350929</v>
      </c>
      <c r="K450" s="580">
        <f>Drivers!O215/12</f>
        <v>13.462977503422939</v>
      </c>
    </row>
    <row r="451" spans="2:11" x14ac:dyDescent="0.55000000000000004">
      <c r="B451" s="563" t="s">
        <v>634</v>
      </c>
      <c r="C451" s="573">
        <f t="shared" ref="C451:K451" si="12">$C$447/1000/C450</f>
        <v>1.9779015810329765</v>
      </c>
      <c r="D451" s="573">
        <f t="shared" si="12"/>
        <v>1.7100189031203805</v>
      </c>
      <c r="E451" s="573">
        <f t="shared" si="12"/>
        <v>1.139518659660731</v>
      </c>
      <c r="F451" s="573">
        <f t="shared" si="12"/>
        <v>0.78481426512178531</v>
      </c>
      <c r="G451" s="573">
        <f t="shared" si="12"/>
        <v>0.62286846438236931</v>
      </c>
      <c r="H451" s="573">
        <f t="shared" si="12"/>
        <v>0.49892833129166253</v>
      </c>
      <c r="I451" s="573">
        <f t="shared" si="12"/>
        <v>0.43385072286231524</v>
      </c>
      <c r="J451" s="573">
        <f t="shared" si="12"/>
        <v>0.3779760085542897</v>
      </c>
      <c r="K451" s="573">
        <f t="shared" si="12"/>
        <v>0.32986997110192556</v>
      </c>
    </row>
    <row r="455" spans="2:11" x14ac:dyDescent="0.55000000000000004">
      <c r="B455" s="563" t="s">
        <v>637</v>
      </c>
      <c r="C455" s="563"/>
      <c r="D455" s="563"/>
      <c r="E455" s="651"/>
    </row>
    <row r="456" spans="2:11" x14ac:dyDescent="0.55000000000000004">
      <c r="B456" s="563" t="s">
        <v>626</v>
      </c>
      <c r="C456" s="650">
        <f>C441</f>
        <v>0.02</v>
      </c>
      <c r="D456" s="563" t="s">
        <v>627</v>
      </c>
      <c r="E456" s="563"/>
    </row>
    <row r="457" spans="2:11" x14ac:dyDescent="0.55000000000000004">
      <c r="B457" s="563" t="s">
        <v>639</v>
      </c>
      <c r="C457" s="695">
        <f>C456*C460</f>
        <v>22.126666666666665</v>
      </c>
      <c r="D457" s="563"/>
      <c r="E457" s="563"/>
    </row>
    <row r="458" spans="2:11" x14ac:dyDescent="0.55000000000000004">
      <c r="B458" s="563" t="s">
        <v>635</v>
      </c>
      <c r="C458" s="693">
        <v>8716</v>
      </c>
      <c r="D458" s="563"/>
      <c r="E458" s="563"/>
    </row>
    <row r="459" spans="2:11" x14ac:dyDescent="0.55000000000000004">
      <c r="B459" s="563" t="s">
        <v>634</v>
      </c>
      <c r="C459" s="566">
        <f>C458/C460</f>
        <v>7.8782765893341375</v>
      </c>
      <c r="D459" s="563"/>
      <c r="E459" s="563"/>
    </row>
    <row r="460" spans="2:11" x14ac:dyDescent="0.55000000000000004">
      <c r="B460" s="563" t="s">
        <v>629</v>
      </c>
      <c r="C460" s="695">
        <f>C461/12</f>
        <v>1106.3333333333333</v>
      </c>
      <c r="D460" s="563"/>
      <c r="E460" s="563"/>
    </row>
    <row r="461" spans="2:11" x14ac:dyDescent="0.55000000000000004">
      <c r="B461" s="552" t="s">
        <v>630</v>
      </c>
      <c r="C461" s="696">
        <v>13276</v>
      </c>
    </row>
    <row r="463" spans="2:11" x14ac:dyDescent="0.55000000000000004">
      <c r="B463" s="552" t="s">
        <v>631</v>
      </c>
      <c r="C463" s="552">
        <v>2022</v>
      </c>
      <c r="D463" s="552">
        <v>2023</v>
      </c>
      <c r="E463" s="552">
        <v>2024</v>
      </c>
      <c r="F463" s="552">
        <v>2025</v>
      </c>
      <c r="G463" s="552">
        <v>2026</v>
      </c>
      <c r="H463" s="552">
        <v>2027</v>
      </c>
      <c r="I463" s="552">
        <v>2028</v>
      </c>
      <c r="J463" s="552">
        <v>2029</v>
      </c>
      <c r="K463" s="552">
        <v>2030</v>
      </c>
    </row>
    <row r="464" spans="2:11" x14ac:dyDescent="0.55000000000000004">
      <c r="B464" s="552" t="s">
        <v>636</v>
      </c>
      <c r="C464" s="697">
        <v>38.738451628800007</v>
      </c>
      <c r="D464" s="697">
        <v>54.23383228032003</v>
      </c>
      <c r="E464" s="697">
        <v>62.607535984401437</v>
      </c>
      <c r="F464" s="697">
        <v>71.51706995141241</v>
      </c>
      <c r="G464" s="697">
        <v>81.582435351981587</v>
      </c>
      <c r="H464" s="697">
        <v>92.94570313315046</v>
      </c>
      <c r="I464" s="697">
        <v>105.76580011703328</v>
      </c>
      <c r="J464" s="697">
        <v>120.22045946636116</v>
      </c>
      <c r="K464" s="697">
        <v>136.50839268438429</v>
      </c>
    </row>
    <row r="465" spans="2:11" x14ac:dyDescent="0.55000000000000004">
      <c r="B465" s="552" t="s">
        <v>629</v>
      </c>
      <c r="C465" s="580">
        <f t="shared" ref="C465:K465" si="13">C464/12</f>
        <v>3.2282043024000004</v>
      </c>
      <c r="D465" s="580">
        <f t="shared" si="13"/>
        <v>4.5194860233600025</v>
      </c>
      <c r="E465" s="580">
        <f t="shared" si="13"/>
        <v>5.2172946653667864</v>
      </c>
      <c r="F465" s="580">
        <f t="shared" si="13"/>
        <v>5.9597558292843678</v>
      </c>
      <c r="G465" s="580">
        <f t="shared" si="13"/>
        <v>6.7985362793317989</v>
      </c>
      <c r="H465" s="580">
        <f t="shared" si="13"/>
        <v>7.7454752610958719</v>
      </c>
      <c r="I465" s="580">
        <f t="shared" si="13"/>
        <v>8.8138166764194406</v>
      </c>
      <c r="J465" s="580">
        <f t="shared" si="13"/>
        <v>10.018371622196764</v>
      </c>
      <c r="K465" s="580">
        <f t="shared" si="13"/>
        <v>11.375699390365357</v>
      </c>
    </row>
    <row r="466" spans="2:11" x14ac:dyDescent="0.55000000000000004">
      <c r="B466" s="563" t="s">
        <v>634</v>
      </c>
      <c r="C466" s="573">
        <f t="shared" ref="C466:K466" si="14">$C$458/1000/C465</f>
        <v>2.6999530338027586</v>
      </c>
      <c r="D466" s="573">
        <f t="shared" si="14"/>
        <v>1.9285378812876839</v>
      </c>
      <c r="E466" s="573">
        <f t="shared" si="14"/>
        <v>1.6705976102630666</v>
      </c>
      <c r="F466" s="573">
        <f t="shared" si="14"/>
        <v>1.4624760224525162</v>
      </c>
      <c r="G466" s="573">
        <f t="shared" si="14"/>
        <v>1.2820406690330497</v>
      </c>
      <c r="H466" s="573">
        <f t="shared" si="14"/>
        <v>1.1253021546371593</v>
      </c>
      <c r="I466" s="573">
        <f t="shared" si="14"/>
        <v>0.9889018934690188</v>
      </c>
      <c r="J466" s="573">
        <f t="shared" si="14"/>
        <v>0.87000166580852101</v>
      </c>
      <c r="K466" s="573">
        <f t="shared" si="14"/>
        <v>0.76619464886545885</v>
      </c>
    </row>
    <row r="469" spans="2:11" x14ac:dyDescent="0.55000000000000004">
      <c r="B469" s="613" t="s">
        <v>640</v>
      </c>
    </row>
    <row r="471" spans="2:11" x14ac:dyDescent="0.55000000000000004">
      <c r="B471" s="552" t="s">
        <v>314</v>
      </c>
    </row>
    <row r="472" spans="2:11" x14ac:dyDescent="0.55000000000000004">
      <c r="B472" s="552" t="s">
        <v>641</v>
      </c>
      <c r="C472" s="698">
        <v>0.75</v>
      </c>
    </row>
    <row r="473" spans="2:11" x14ac:dyDescent="0.55000000000000004">
      <c r="B473" s="552" t="s">
        <v>642</v>
      </c>
      <c r="C473" s="698">
        <v>0.11</v>
      </c>
    </row>
    <row r="474" spans="2:11" x14ac:dyDescent="0.55000000000000004">
      <c r="C474" s="575"/>
    </row>
    <row r="475" spans="2:11" x14ac:dyDescent="0.55000000000000004">
      <c r="B475" s="552" t="s">
        <v>644</v>
      </c>
      <c r="C475" s="699">
        <f>C473*C472</f>
        <v>8.2500000000000004E-2</v>
      </c>
    </row>
    <row r="477" spans="2:11" x14ac:dyDescent="0.55000000000000004">
      <c r="B477" s="552" t="s">
        <v>643</v>
      </c>
      <c r="C477" s="567">
        <f>1/C475</f>
        <v>12.121212121212121</v>
      </c>
    </row>
    <row r="478" spans="2:11" x14ac:dyDescent="0.55000000000000004">
      <c r="B478" s="552" t="s">
        <v>645</v>
      </c>
      <c r="C478" s="567">
        <f>1/C473</f>
        <v>9.0909090909090917</v>
      </c>
    </row>
    <row r="481" spans="2:3" x14ac:dyDescent="0.55000000000000004">
      <c r="B481" s="552" t="s">
        <v>132</v>
      </c>
    </row>
    <row r="482" spans="2:3" x14ac:dyDescent="0.55000000000000004">
      <c r="B482" s="552" t="s">
        <v>641</v>
      </c>
      <c r="C482" s="698">
        <v>0.75</v>
      </c>
    </row>
    <row r="483" spans="2:3" x14ac:dyDescent="0.55000000000000004">
      <c r="B483" s="552" t="s">
        <v>642</v>
      </c>
      <c r="C483" s="698">
        <v>0.11</v>
      </c>
    </row>
    <row r="484" spans="2:3" x14ac:dyDescent="0.55000000000000004">
      <c r="B484" s="552" t="s">
        <v>646</v>
      </c>
      <c r="C484" s="698">
        <v>0.15</v>
      </c>
    </row>
    <row r="485" spans="2:3" x14ac:dyDescent="0.55000000000000004">
      <c r="C485" s="575"/>
    </row>
    <row r="486" spans="2:3" x14ac:dyDescent="0.55000000000000004">
      <c r="B486" s="552" t="s">
        <v>644</v>
      </c>
      <c r="C486" s="699">
        <f>C484*C483*C482</f>
        <v>1.2375000000000001E-2</v>
      </c>
    </row>
    <row r="488" spans="2:3" x14ac:dyDescent="0.55000000000000004">
      <c r="B488" s="552" t="s">
        <v>643</v>
      </c>
      <c r="C488" s="567">
        <f>1/C486</f>
        <v>80.808080808080803</v>
      </c>
    </row>
    <row r="489" spans="2:3" x14ac:dyDescent="0.55000000000000004">
      <c r="B489" s="552" t="s">
        <v>645</v>
      </c>
      <c r="C489" s="567">
        <f>1/(C483*C484)</f>
        <v>60.606060606060602</v>
      </c>
    </row>
    <row r="491" spans="2:3" x14ac:dyDescent="0.55000000000000004">
      <c r="B491" s="567" t="s">
        <v>647</v>
      </c>
      <c r="C491" s="611">
        <v>0.28999999999999998</v>
      </c>
    </row>
    <row r="492" spans="2:3" x14ac:dyDescent="0.55000000000000004">
      <c r="B492" s="552" t="s">
        <v>393</v>
      </c>
      <c r="C492" s="611">
        <v>0.09</v>
      </c>
    </row>
    <row r="493" spans="2:3" x14ac:dyDescent="0.55000000000000004">
      <c r="B493" s="552" t="s">
        <v>649</v>
      </c>
      <c r="C493" s="611">
        <v>8.3000000000000004E-2</v>
      </c>
    </row>
    <row r="494" spans="2:3" x14ac:dyDescent="0.55000000000000004">
      <c r="B494" s="567" t="s">
        <v>648</v>
      </c>
      <c r="C494" s="611">
        <v>5.8000000000000003E-2</v>
      </c>
    </row>
    <row r="495" spans="2:3" x14ac:dyDescent="0.55000000000000004">
      <c r="B495" s="552" t="s">
        <v>132</v>
      </c>
      <c r="C495" s="611">
        <v>5.5E-2</v>
      </c>
    </row>
    <row r="496" spans="2:3" x14ac:dyDescent="0.55000000000000004">
      <c r="B496" s="552" t="s">
        <v>653</v>
      </c>
      <c r="C496" s="611">
        <v>2.8000000000000001E-2</v>
      </c>
    </row>
    <row r="497" spans="2:3" x14ac:dyDescent="0.55000000000000004">
      <c r="B497" s="552" t="s">
        <v>652</v>
      </c>
      <c r="C497" s="611">
        <v>2.8000000000000001E-2</v>
      </c>
    </row>
    <row r="498" spans="2:3" x14ac:dyDescent="0.55000000000000004">
      <c r="B498" s="567" t="s">
        <v>650</v>
      </c>
      <c r="C498" s="611">
        <v>2.5999999999999999E-2</v>
      </c>
    </row>
    <row r="499" spans="2:3" x14ac:dyDescent="0.55000000000000004">
      <c r="B499" s="567" t="s">
        <v>651</v>
      </c>
      <c r="C499" s="611">
        <v>2.1999999999999999E-2</v>
      </c>
    </row>
    <row r="500" spans="2:3" x14ac:dyDescent="0.55000000000000004">
      <c r="B500" s="567" t="s">
        <v>654</v>
      </c>
      <c r="C500" s="611">
        <v>1E-3</v>
      </c>
    </row>
    <row r="503" spans="2:3" x14ac:dyDescent="0.55000000000000004">
      <c r="B503" s="574" t="s">
        <v>136</v>
      </c>
      <c r="C503" s="574">
        <v>2021</v>
      </c>
    </row>
    <row r="504" spans="2:3" x14ac:dyDescent="0.55000000000000004">
      <c r="B504" s="552" t="s">
        <v>757</v>
      </c>
      <c r="C504" s="611">
        <v>0.66</v>
      </c>
    </row>
    <row r="505" spans="2:3" x14ac:dyDescent="0.55000000000000004">
      <c r="B505" s="552" t="s">
        <v>106</v>
      </c>
      <c r="C505" s="611">
        <v>7.8E-2</v>
      </c>
    </row>
    <row r="506" spans="2:3" x14ac:dyDescent="0.55000000000000004">
      <c r="B506" s="552" t="s">
        <v>758</v>
      </c>
      <c r="C506" s="575">
        <v>0.17</v>
      </c>
    </row>
    <row r="507" spans="2:3" x14ac:dyDescent="0.55000000000000004">
      <c r="B507" s="552" t="s">
        <v>759</v>
      </c>
      <c r="C507" s="575">
        <v>7.0000000000000007E-2</v>
      </c>
    </row>
    <row r="509" spans="2:3" x14ac:dyDescent="0.55000000000000004">
      <c r="B509" s="574" t="s">
        <v>392</v>
      </c>
      <c r="C509" s="574">
        <v>2021</v>
      </c>
    </row>
    <row r="510" spans="2:3" x14ac:dyDescent="0.55000000000000004">
      <c r="B510" s="552" t="str">
        <f>B504</f>
        <v>Interest bearing credit card receivables</v>
      </c>
      <c r="C510" s="575">
        <v>0.8</v>
      </c>
    </row>
    <row r="511" spans="2:3" x14ac:dyDescent="0.55000000000000004">
      <c r="B511" s="552" t="str">
        <f>B505</f>
        <v>Credit card receivables</v>
      </c>
      <c r="C511" s="611">
        <v>0.115</v>
      </c>
    </row>
    <row r="512" spans="2:3" x14ac:dyDescent="0.55000000000000004">
      <c r="B512" s="552" t="str">
        <f>B506</f>
        <v>% of book in interest-bearing</v>
      </c>
      <c r="C512" s="575">
        <v>0.15</v>
      </c>
    </row>
    <row r="513" spans="2:3" x14ac:dyDescent="0.55000000000000004">
      <c r="B513" s="552" t="str">
        <f>B507</f>
        <v>% of book in revolving</v>
      </c>
      <c r="C513" s="575">
        <v>0.113</v>
      </c>
    </row>
    <row r="516" spans="2:3" x14ac:dyDescent="0.55000000000000004">
      <c r="B516" s="613" t="s">
        <v>1123</v>
      </c>
    </row>
    <row r="517" spans="2:3" x14ac:dyDescent="0.55000000000000004">
      <c r="B517" s="613"/>
    </row>
    <row r="549" spans="2:16" x14ac:dyDescent="0.55000000000000004">
      <c r="B549" s="613" t="s">
        <v>1183</v>
      </c>
    </row>
    <row r="550" spans="2:16" x14ac:dyDescent="0.55000000000000004">
      <c r="B550" s="680"/>
      <c r="C550" s="1317" t="s">
        <v>774</v>
      </c>
      <c r="D550" s="1317"/>
      <c r="E550" s="1317"/>
      <c r="F550" s="1317"/>
      <c r="G550" s="1317"/>
      <c r="H550" s="1317" t="s">
        <v>1122</v>
      </c>
      <c r="I550" s="1317"/>
      <c r="J550" s="1317"/>
      <c r="K550" s="1317"/>
      <c r="L550" s="870"/>
      <c r="M550" s="680" t="s">
        <v>775</v>
      </c>
      <c r="N550" s="680" t="s">
        <v>775</v>
      </c>
      <c r="O550" s="680" t="s">
        <v>775</v>
      </c>
      <c r="P550" s="680" t="s">
        <v>775</v>
      </c>
    </row>
    <row r="551" spans="2:16" x14ac:dyDescent="0.55000000000000004">
      <c r="B551" s="592" t="s">
        <v>156</v>
      </c>
      <c r="C551" s="592">
        <v>2022</v>
      </c>
      <c r="D551" s="592">
        <f>C551+1</f>
        <v>2023</v>
      </c>
      <c r="E551" s="592">
        <f>D551+1</f>
        <v>2024</v>
      </c>
      <c r="F551" s="592">
        <f>E551+1</f>
        <v>2025</v>
      </c>
      <c r="G551" s="592"/>
      <c r="H551" s="592">
        <f>C551</f>
        <v>2022</v>
      </c>
      <c r="I551" s="592">
        <f>D551</f>
        <v>2023</v>
      </c>
      <c r="J551" s="592">
        <f>E551</f>
        <v>2024</v>
      </c>
      <c r="K551" s="592">
        <f>F551</f>
        <v>2025</v>
      </c>
      <c r="L551" s="592"/>
      <c r="M551" s="592">
        <f>H551</f>
        <v>2022</v>
      </c>
      <c r="N551" s="592">
        <f>I551</f>
        <v>2023</v>
      </c>
      <c r="O551" s="592">
        <f>J551</f>
        <v>2024</v>
      </c>
      <c r="P551" s="592">
        <f>K551</f>
        <v>2025</v>
      </c>
    </row>
    <row r="552" spans="2:16" x14ac:dyDescent="0.55000000000000004">
      <c r="B552" s="855" t="s">
        <v>356</v>
      </c>
      <c r="C552" s="856">
        <v>4801.6464475128514</v>
      </c>
      <c r="D552" s="856">
        <v>7491.2513639327772</v>
      </c>
      <c r="E552" s="856">
        <v>8172.8776838012291</v>
      </c>
      <c r="F552" s="856">
        <v>10125.621324221109</v>
      </c>
      <c r="G552" s="856"/>
      <c r="H552" s="856">
        <v>4802.5040231725307</v>
      </c>
      <c r="I552" s="856">
        <v>7699.4330090168587</v>
      </c>
      <c r="J552" s="856">
        <v>8488.2337214521267</v>
      </c>
      <c r="K552" s="856">
        <v>10493.751352412795</v>
      </c>
      <c r="L552" s="856"/>
      <c r="M552" s="857">
        <f>C552/H552-1</f>
        <v>-1.7856844170072161E-4</v>
      </c>
      <c r="N552" s="857">
        <f>D552/I552-1</f>
        <v>-2.7038568273829888E-2</v>
      </c>
      <c r="O552" s="857">
        <f>E552/J552-1</f>
        <v>-3.7152138831180515E-2</v>
      </c>
      <c r="P552" s="857">
        <f>F552/K552-1</f>
        <v>-3.508087964244011E-2</v>
      </c>
    </row>
    <row r="553" spans="2:16" x14ac:dyDescent="0.55000000000000004">
      <c r="B553" s="871"/>
      <c r="C553" s="871"/>
      <c r="D553" s="871"/>
      <c r="E553" s="871"/>
      <c r="F553" s="871"/>
      <c r="G553" s="871"/>
      <c r="H553" s="871"/>
      <c r="I553" s="871"/>
      <c r="J553" s="871"/>
      <c r="K553" s="871"/>
      <c r="L553" s="871"/>
      <c r="M553" s="831"/>
      <c r="N553" s="831"/>
      <c r="O553" s="831"/>
      <c r="P553" s="831"/>
    </row>
    <row r="554" spans="2:16" x14ac:dyDescent="0.55000000000000004">
      <c r="B554" s="858" t="s">
        <v>1074</v>
      </c>
      <c r="C554" s="856">
        <v>3502.1899716220228</v>
      </c>
      <c r="D554" s="856">
        <v>5644.1381622382569</v>
      </c>
      <c r="E554" s="856">
        <v>6017.1725439409975</v>
      </c>
      <c r="F554" s="856">
        <v>7569.0755334034784</v>
      </c>
      <c r="G554" s="856"/>
      <c r="H554" s="856">
        <v>3502.1899716220228</v>
      </c>
      <c r="I554" s="856">
        <v>5644.1381622382569</v>
      </c>
      <c r="J554" s="856">
        <v>6017.1725439409975</v>
      </c>
      <c r="K554" s="856">
        <v>7569.0755334034784</v>
      </c>
      <c r="L554" s="856"/>
      <c r="M554" s="857">
        <f t="shared" ref="M554:P556" si="15">C554/H554-1</f>
        <v>0</v>
      </c>
      <c r="N554" s="857">
        <f t="shared" si="15"/>
        <v>0</v>
      </c>
      <c r="O554" s="857">
        <f t="shared" si="15"/>
        <v>0</v>
      </c>
      <c r="P554" s="857">
        <f t="shared" si="15"/>
        <v>0</v>
      </c>
    </row>
    <row r="555" spans="2:16" x14ac:dyDescent="0.55000000000000004">
      <c r="B555" s="563" t="s">
        <v>88</v>
      </c>
      <c r="C555" s="630">
        <v>1064.9787934999047</v>
      </c>
      <c r="D555" s="630">
        <v>1419.8018661229748</v>
      </c>
      <c r="E555" s="630">
        <v>1629.5991249378451</v>
      </c>
      <c r="F555" s="630">
        <v>1925.2944799952049</v>
      </c>
      <c r="G555" s="630"/>
      <c r="H555" s="630">
        <v>1065.8363691595835</v>
      </c>
      <c r="I555" s="630">
        <v>1627.9835112070573</v>
      </c>
      <c r="J555" s="630">
        <v>1944.9551625887416</v>
      </c>
      <c r="K555" s="630">
        <v>2293.424508186893</v>
      </c>
      <c r="L555" s="630"/>
      <c r="M555" s="631">
        <f t="shared" si="15"/>
        <v>-8.0460348745181598E-4</v>
      </c>
      <c r="N555" s="631">
        <f t="shared" si="15"/>
        <v>-0.12787699853896406</v>
      </c>
      <c r="O555" s="631">
        <f t="shared" si="15"/>
        <v>-0.16214051805243501</v>
      </c>
      <c r="P555" s="631">
        <f t="shared" si="15"/>
        <v>-0.16051543309037009</v>
      </c>
    </row>
    <row r="556" spans="2:16" x14ac:dyDescent="0.55000000000000004">
      <c r="B556" s="858" t="s">
        <v>362</v>
      </c>
      <c r="C556" s="856">
        <v>234.47768239092437</v>
      </c>
      <c r="D556" s="856">
        <v>427.3113355715447</v>
      </c>
      <c r="E556" s="856">
        <v>526.10601492238698</v>
      </c>
      <c r="F556" s="856">
        <v>631.2513108224249</v>
      </c>
      <c r="G556" s="856"/>
      <c r="H556" s="856">
        <v>234.47768239092437</v>
      </c>
      <c r="I556" s="856">
        <v>427.3113355715447</v>
      </c>
      <c r="J556" s="856">
        <v>526.10601492238698</v>
      </c>
      <c r="K556" s="856">
        <v>631.2513108224249</v>
      </c>
      <c r="L556" s="856"/>
      <c r="M556" s="857">
        <f t="shared" si="15"/>
        <v>0</v>
      </c>
      <c r="N556" s="857">
        <f t="shared" si="15"/>
        <v>0</v>
      </c>
      <c r="O556" s="857">
        <f t="shared" si="15"/>
        <v>0</v>
      </c>
      <c r="P556" s="857">
        <f t="shared" si="15"/>
        <v>0</v>
      </c>
    </row>
    <row r="557" spans="2:16" x14ac:dyDescent="0.55000000000000004">
      <c r="B557" s="563"/>
      <c r="C557" s="630"/>
      <c r="D557" s="630"/>
      <c r="E557" s="630"/>
      <c r="F557" s="630"/>
      <c r="G557" s="630"/>
      <c r="H557" s="630"/>
      <c r="I557" s="630"/>
      <c r="J557" s="630"/>
      <c r="K557" s="630"/>
      <c r="L557" s="630"/>
      <c r="M557" s="631"/>
      <c r="N557" s="631"/>
      <c r="O557" s="631"/>
      <c r="P557" s="631"/>
    </row>
    <row r="558" spans="2:16" x14ac:dyDescent="0.55000000000000004">
      <c r="B558" s="858" t="s">
        <v>89</v>
      </c>
      <c r="C558" s="856">
        <v>-1618.9726513612293</v>
      </c>
      <c r="D558" s="856">
        <v>-2102.2508831687028</v>
      </c>
      <c r="E558" s="856">
        <v>-1766.0145292480106</v>
      </c>
      <c r="F558" s="856">
        <v>-1639.4395948737149</v>
      </c>
      <c r="G558" s="856"/>
      <c r="H558" s="856">
        <v>-1618.9726513612293</v>
      </c>
      <c r="I558" s="856">
        <v>-2102.2508831687028</v>
      </c>
      <c r="J558" s="856">
        <v>-1766.0145292480106</v>
      </c>
      <c r="K558" s="856">
        <v>-1639.4395948737149</v>
      </c>
      <c r="L558" s="856"/>
      <c r="M558" s="857">
        <f t="shared" ref="M558:P560" si="16">C558/H558-1</f>
        <v>0</v>
      </c>
      <c r="N558" s="857">
        <f t="shared" si="16"/>
        <v>0</v>
      </c>
      <c r="O558" s="857">
        <f t="shared" si="16"/>
        <v>0</v>
      </c>
      <c r="P558" s="857">
        <f t="shared" si="16"/>
        <v>0</v>
      </c>
    </row>
    <row r="559" spans="2:16" x14ac:dyDescent="0.55000000000000004">
      <c r="B559" s="563" t="s">
        <v>599</v>
      </c>
      <c r="C559" s="630">
        <v>-210</v>
      </c>
      <c r="D559" s="630">
        <v>-315</v>
      </c>
      <c r="E559" s="630">
        <v>-472.5</v>
      </c>
      <c r="F559" s="630">
        <v>-637.875</v>
      </c>
      <c r="G559" s="630"/>
      <c r="H559" s="630">
        <v>-210</v>
      </c>
      <c r="I559" s="630">
        <v>-315</v>
      </c>
      <c r="J559" s="630">
        <v>-472.5</v>
      </c>
      <c r="K559" s="630">
        <v>-637.875</v>
      </c>
      <c r="L559" s="630"/>
      <c r="M559" s="631">
        <f t="shared" si="16"/>
        <v>0</v>
      </c>
      <c r="N559" s="631">
        <f t="shared" si="16"/>
        <v>0</v>
      </c>
      <c r="O559" s="631">
        <f t="shared" si="16"/>
        <v>0</v>
      </c>
      <c r="P559" s="631">
        <f t="shared" si="16"/>
        <v>0</v>
      </c>
    </row>
    <row r="560" spans="2:16" x14ac:dyDescent="0.55000000000000004">
      <c r="B560" s="858" t="s">
        <v>90</v>
      </c>
      <c r="C560" s="856">
        <v>-1401.28</v>
      </c>
      <c r="D560" s="856">
        <v>-1912.8400000000001</v>
      </c>
      <c r="E560" s="856">
        <v>-2437.1600000000003</v>
      </c>
      <c r="F560" s="856">
        <v>-2922.84</v>
      </c>
      <c r="G560" s="856"/>
      <c r="H560" s="856">
        <v>-1401.28</v>
      </c>
      <c r="I560" s="856">
        <v>-1912.8400000000001</v>
      </c>
      <c r="J560" s="856">
        <v>-2437.1600000000003</v>
      </c>
      <c r="K560" s="856">
        <v>-2922.84</v>
      </c>
      <c r="L560" s="856"/>
      <c r="M560" s="857">
        <f t="shared" si="16"/>
        <v>0</v>
      </c>
      <c r="N560" s="857">
        <f t="shared" si="16"/>
        <v>0</v>
      </c>
      <c r="O560" s="857">
        <f t="shared" si="16"/>
        <v>0</v>
      </c>
      <c r="P560" s="857">
        <f t="shared" si="16"/>
        <v>0</v>
      </c>
    </row>
    <row r="561" spans="2:16" x14ac:dyDescent="0.55000000000000004">
      <c r="B561" s="563"/>
      <c r="C561" s="630"/>
      <c r="D561" s="630"/>
      <c r="E561" s="630"/>
      <c r="F561" s="630"/>
      <c r="G561" s="630"/>
      <c r="H561" s="630"/>
      <c r="I561" s="630"/>
      <c r="J561" s="630"/>
      <c r="K561" s="630"/>
      <c r="L561" s="630"/>
      <c r="M561" s="631"/>
      <c r="N561" s="631"/>
      <c r="O561" s="631"/>
      <c r="P561" s="631"/>
    </row>
    <row r="562" spans="2:16" x14ac:dyDescent="0.55000000000000004">
      <c r="B562" s="858" t="s">
        <v>1075</v>
      </c>
      <c r="C562" s="856">
        <v>-3230.2526513612293</v>
      </c>
      <c r="D562" s="856">
        <v>-4330.0908831687029</v>
      </c>
      <c r="E562" s="856">
        <v>-4675.6745292480109</v>
      </c>
      <c r="F562" s="856">
        <v>-5200.1545948737148</v>
      </c>
      <c r="G562" s="856"/>
      <c r="H562" s="856">
        <v>-3230.2526513612293</v>
      </c>
      <c r="I562" s="856">
        <v>-4330.0908831687029</v>
      </c>
      <c r="J562" s="856">
        <v>-4675.6745292480109</v>
      </c>
      <c r="K562" s="856">
        <v>-5200.1545948737148</v>
      </c>
      <c r="L562" s="856"/>
      <c r="M562" s="857">
        <f>C562/H562-1</f>
        <v>0</v>
      </c>
      <c r="N562" s="857">
        <f>D562/I562-1</f>
        <v>0</v>
      </c>
      <c r="O562" s="857">
        <f>E562/J562-1</f>
        <v>0</v>
      </c>
      <c r="P562" s="857">
        <f>F562/K562-1</f>
        <v>0</v>
      </c>
    </row>
    <row r="563" spans="2:16" x14ac:dyDescent="0.55000000000000004">
      <c r="B563" s="563"/>
      <c r="C563" s="630"/>
      <c r="D563" s="630"/>
      <c r="E563" s="630"/>
      <c r="F563" s="630"/>
      <c r="G563" s="630"/>
      <c r="H563" s="630"/>
      <c r="I563" s="630"/>
      <c r="J563" s="630"/>
      <c r="K563" s="630"/>
      <c r="L563" s="630"/>
      <c r="M563" s="631"/>
      <c r="N563" s="631"/>
      <c r="O563" s="631"/>
      <c r="P563" s="631"/>
    </row>
    <row r="564" spans="2:16" x14ac:dyDescent="0.55000000000000004">
      <c r="B564" s="859" t="s">
        <v>11</v>
      </c>
      <c r="C564" s="860">
        <v>1571.3937961516222</v>
      </c>
      <c r="D564" s="860">
        <v>3161.1604807640742</v>
      </c>
      <c r="E564" s="860">
        <v>3497.2031545532182</v>
      </c>
      <c r="F564" s="860">
        <v>4925.466729347394</v>
      </c>
      <c r="G564" s="860"/>
      <c r="H564" s="860">
        <v>1572.2513718113014</v>
      </c>
      <c r="I564" s="860">
        <v>3369.3421258481558</v>
      </c>
      <c r="J564" s="860">
        <v>3812.5591922041158</v>
      </c>
      <c r="K564" s="860">
        <v>5293.5967575390805</v>
      </c>
      <c r="L564" s="860"/>
      <c r="M564" s="861">
        <f>C564/H564-1</f>
        <v>-5.4544437044523608E-4</v>
      </c>
      <c r="N564" s="861">
        <f>D564/I564-1</f>
        <v>-6.1787030615561678E-2</v>
      </c>
      <c r="O564" s="861">
        <f>E564/J564-1</f>
        <v>-8.2715053525132087E-2</v>
      </c>
      <c r="P564" s="861">
        <f>F564/K564-1</f>
        <v>-6.9542514296616953E-2</v>
      </c>
    </row>
    <row r="565" spans="2:16" x14ac:dyDescent="0.55000000000000004">
      <c r="B565" s="872"/>
      <c r="C565" s="871"/>
      <c r="D565" s="871"/>
      <c r="E565" s="871"/>
      <c r="F565" s="871"/>
      <c r="G565" s="871"/>
      <c r="H565" s="871"/>
      <c r="I565" s="871"/>
      <c r="J565" s="871"/>
      <c r="K565" s="871"/>
      <c r="L565" s="871"/>
      <c r="M565" s="831"/>
      <c r="N565" s="831"/>
      <c r="O565" s="831"/>
      <c r="P565" s="831"/>
    </row>
    <row r="566" spans="2:16" x14ac:dyDescent="0.55000000000000004">
      <c r="B566" s="858" t="s">
        <v>776</v>
      </c>
      <c r="C566" s="856">
        <v>-61.521541919900301</v>
      </c>
      <c r="D566" s="856">
        <v>778.94254703345132</v>
      </c>
      <c r="E566" s="856">
        <v>1102.5499931994582</v>
      </c>
      <c r="F566" s="856">
        <v>2181.4233504834738</v>
      </c>
      <c r="G566" s="856"/>
      <c r="H566" s="856">
        <v>-60.932387441700939</v>
      </c>
      <c r="I566" s="856">
        <v>920.92242898079439</v>
      </c>
      <c r="J566" s="856">
        <v>1325.5067118186425</v>
      </c>
      <c r="K566" s="856">
        <v>2449.7901410352133</v>
      </c>
      <c r="L566" s="856"/>
      <c r="M566" s="857">
        <f>C566/H566-1</f>
        <v>9.6689872649919906E-3</v>
      </c>
      <c r="N566" s="857">
        <f>D566/I566-1</f>
        <v>-0.15417138021546006</v>
      </c>
      <c r="O566" s="857">
        <f>E566/J566-1</f>
        <v>-0.16820489600786692</v>
      </c>
      <c r="P566" s="857">
        <f>F566/K566-1</f>
        <v>-0.10954684895512523</v>
      </c>
    </row>
    <row r="567" spans="2:16" x14ac:dyDescent="0.55000000000000004">
      <c r="B567" s="871"/>
      <c r="C567" s="871"/>
      <c r="D567" s="871"/>
      <c r="E567" s="871"/>
      <c r="F567" s="871"/>
      <c r="G567" s="871"/>
      <c r="H567" s="871"/>
      <c r="I567" s="871"/>
      <c r="J567" s="871"/>
      <c r="K567" s="871"/>
      <c r="L567" s="871"/>
      <c r="M567" s="831"/>
      <c r="N567" s="831"/>
      <c r="O567" s="831"/>
      <c r="P567" s="831"/>
    </row>
    <row r="568" spans="2:16" x14ac:dyDescent="0.55000000000000004">
      <c r="B568" s="862" t="s">
        <v>14</v>
      </c>
      <c r="C568" s="862">
        <v>-81.521541919900301</v>
      </c>
      <c r="D568" s="862">
        <v>984.34033505271373</v>
      </c>
      <c r="E568" s="862">
        <v>1336.8538437147233</v>
      </c>
      <c r="F568" s="862">
        <v>2089.191913161394</v>
      </c>
      <c r="G568" s="862"/>
      <c r="H568" s="862">
        <v>-80.932387441700939</v>
      </c>
      <c r="I568" s="862">
        <v>1141.6458974446509</v>
      </c>
      <c r="J568" s="862">
        <v>1514.6071579453878</v>
      </c>
      <c r="K568" s="862">
        <v>2289.7773827944575</v>
      </c>
      <c r="L568" s="862"/>
      <c r="M568" s="863">
        <f>C568/H568-1</f>
        <v>7.2795885160776841E-3</v>
      </c>
      <c r="N568" s="863">
        <f>D568/I568-1</f>
        <v>-0.13778840071517329</v>
      </c>
      <c r="O568" s="863">
        <f>E568/J568-1</f>
        <v>-0.11735935176207168</v>
      </c>
      <c r="P568" s="863">
        <f>F568/K568-1</f>
        <v>-8.7600424015136236E-2</v>
      </c>
    </row>
    <row r="569" spans="2:16" x14ac:dyDescent="0.55000000000000004">
      <c r="B569" s="871"/>
      <c r="C569" s="871"/>
      <c r="D569" s="871"/>
      <c r="E569" s="871"/>
      <c r="F569" s="871"/>
      <c r="G569" s="871"/>
      <c r="H569" s="871"/>
      <c r="I569" s="871"/>
      <c r="J569" s="871"/>
      <c r="K569" s="871"/>
      <c r="L569" s="871"/>
      <c r="M569" s="831"/>
      <c r="N569" s="831"/>
      <c r="O569" s="831"/>
      <c r="P569" s="831"/>
    </row>
    <row r="570" spans="2:16" x14ac:dyDescent="0.55000000000000004">
      <c r="B570" s="858" t="s">
        <v>777</v>
      </c>
      <c r="C570" s="856">
        <v>10471.374327208256</v>
      </c>
      <c r="D570" s="856">
        <v>15810.762742732695</v>
      </c>
      <c r="E570" s="856">
        <v>22840.779326053886</v>
      </c>
      <c r="F570" s="856">
        <v>29973.999098835324</v>
      </c>
      <c r="G570" s="856"/>
      <c r="H570" s="856">
        <v>10471.374327208256</v>
      </c>
      <c r="I570" s="856">
        <v>15810.762742732695</v>
      </c>
      <c r="J570" s="856">
        <v>22840.779326053886</v>
      </c>
      <c r="K570" s="856">
        <v>29973.999098835324</v>
      </c>
      <c r="L570" s="856"/>
      <c r="M570" s="857">
        <f>C570/H570-1</f>
        <v>0</v>
      </c>
      <c r="N570" s="857">
        <f>D570/I570-1</f>
        <v>0</v>
      </c>
      <c r="O570" s="857">
        <f>E570/J570-1</f>
        <v>0</v>
      </c>
      <c r="P570" s="857">
        <f>F570/K570-1</f>
        <v>0</v>
      </c>
    </row>
    <row r="571" spans="2:16" x14ac:dyDescent="0.55000000000000004">
      <c r="B571" s="563"/>
      <c r="C571" s="651"/>
      <c r="D571" s="651"/>
      <c r="E571" s="651"/>
      <c r="F571" s="651"/>
      <c r="G571" s="651"/>
      <c r="H571" s="630"/>
      <c r="I571" s="630"/>
      <c r="J571" s="630"/>
      <c r="K571" s="630"/>
      <c r="L571" s="630"/>
      <c r="M571" s="631"/>
      <c r="N571" s="631"/>
      <c r="O571" s="631"/>
      <c r="P571" s="631"/>
    </row>
    <row r="572" spans="2:16" x14ac:dyDescent="0.55000000000000004">
      <c r="B572" s="865" t="s">
        <v>106</v>
      </c>
      <c r="C572" s="864">
        <v>8359.1229538228581</v>
      </c>
      <c r="D572" s="864">
        <v>12527.156510783097</v>
      </c>
      <c r="E572" s="864">
        <v>16866.849292565999</v>
      </c>
      <c r="F572" s="864">
        <v>19638.275564903575</v>
      </c>
      <c r="G572" s="864"/>
      <c r="H572" s="856">
        <v>8359.1229538228581</v>
      </c>
      <c r="I572" s="856">
        <v>12527.156510783097</v>
      </c>
      <c r="J572" s="856">
        <v>16866.849292565999</v>
      </c>
      <c r="K572" s="856">
        <v>19638.275564903575</v>
      </c>
      <c r="L572" s="856"/>
      <c r="M572" s="857">
        <f>C572/H572-1</f>
        <v>0</v>
      </c>
      <c r="N572" s="857">
        <f>D572/I572-1</f>
        <v>0</v>
      </c>
      <c r="O572" s="857">
        <f>E572/J572-1</f>
        <v>0</v>
      </c>
      <c r="P572" s="857">
        <f>F572/K572-1</f>
        <v>0</v>
      </c>
    </row>
    <row r="573" spans="2:16" x14ac:dyDescent="0.55000000000000004">
      <c r="B573" s="563"/>
      <c r="C573" s="651"/>
      <c r="D573" s="651"/>
      <c r="E573" s="651"/>
      <c r="F573" s="651"/>
      <c r="G573" s="651"/>
      <c r="H573" s="630"/>
      <c r="I573" s="630"/>
      <c r="J573" s="630"/>
      <c r="K573" s="630"/>
      <c r="L573" s="630"/>
      <c r="M573" s="631"/>
      <c r="N573" s="631"/>
      <c r="O573" s="631"/>
      <c r="P573" s="631"/>
    </row>
    <row r="574" spans="2:16" x14ac:dyDescent="0.55000000000000004">
      <c r="B574" s="865" t="s">
        <v>107</v>
      </c>
      <c r="C574" s="864">
        <v>2112.2513733853971</v>
      </c>
      <c r="D574" s="864">
        <v>3283.6062319495982</v>
      </c>
      <c r="E574" s="864">
        <v>5973.9300334878862</v>
      </c>
      <c r="F574" s="864">
        <v>10335.723533931749</v>
      </c>
      <c r="G574" s="864"/>
      <c r="H574" s="856">
        <v>2112.2513733853971</v>
      </c>
      <c r="I574" s="856">
        <v>3283.6062319495982</v>
      </c>
      <c r="J574" s="856">
        <v>5973.9300334878862</v>
      </c>
      <c r="K574" s="856">
        <v>10335.723533931749</v>
      </c>
      <c r="L574" s="856"/>
      <c r="M574" s="857">
        <f>C574/H574-1</f>
        <v>0</v>
      </c>
      <c r="N574" s="857">
        <f>D574/I574-1</f>
        <v>0</v>
      </c>
      <c r="O574" s="857">
        <f>E574/J574-1</f>
        <v>0</v>
      </c>
      <c r="P574" s="857">
        <f>F574/K574-1</f>
        <v>0</v>
      </c>
    </row>
    <row r="575" spans="2:16" x14ac:dyDescent="0.55000000000000004">
      <c r="B575" s="871"/>
      <c r="C575" s="871"/>
      <c r="D575" s="871"/>
      <c r="E575" s="871"/>
      <c r="F575" s="871"/>
      <c r="G575" s="871"/>
      <c r="H575" s="871"/>
      <c r="I575" s="871"/>
      <c r="J575" s="871"/>
      <c r="K575" s="871"/>
      <c r="L575" s="871"/>
      <c r="M575" s="831"/>
      <c r="N575" s="831"/>
      <c r="O575" s="831"/>
      <c r="P575" s="831"/>
    </row>
    <row r="576" spans="2:16" x14ac:dyDescent="0.55000000000000004">
      <c r="B576" s="866" t="s">
        <v>779</v>
      </c>
      <c r="C576" s="867">
        <v>234.47768239092437</v>
      </c>
      <c r="D576" s="867">
        <v>427.3113355715447</v>
      </c>
      <c r="E576" s="867">
        <v>526.10601492238698</v>
      </c>
      <c r="F576" s="867">
        <v>631.2513108224249</v>
      </c>
      <c r="G576" s="864"/>
      <c r="H576" s="862">
        <v>234.47768239092437</v>
      </c>
      <c r="I576" s="862">
        <v>427.3113355715447</v>
      </c>
      <c r="J576" s="862">
        <v>526.10601492238698</v>
      </c>
      <c r="K576" s="862">
        <v>631.2513108224249</v>
      </c>
      <c r="L576" s="862"/>
      <c r="M576" s="863">
        <f>C576/H576-1</f>
        <v>0</v>
      </c>
      <c r="N576" s="863">
        <f>D576/I576-1</f>
        <v>0</v>
      </c>
      <c r="O576" s="863">
        <f>E576/J576-1</f>
        <v>0</v>
      </c>
      <c r="P576" s="863">
        <f>F576/K576-1</f>
        <v>0</v>
      </c>
    </row>
    <row r="577" spans="2:26" x14ac:dyDescent="0.55000000000000004">
      <c r="B577" s="871"/>
      <c r="C577" s="871"/>
      <c r="D577" s="871"/>
      <c r="E577" s="871"/>
      <c r="F577" s="871"/>
      <c r="G577" s="871"/>
      <c r="H577" s="871"/>
      <c r="I577" s="871"/>
      <c r="J577" s="871"/>
      <c r="K577" s="871"/>
      <c r="L577" s="871"/>
      <c r="M577" s="831"/>
      <c r="N577" s="831"/>
      <c r="O577" s="831"/>
      <c r="P577" s="831"/>
    </row>
    <row r="578" spans="2:26" x14ac:dyDescent="0.55000000000000004">
      <c r="B578" s="854" t="s">
        <v>778</v>
      </c>
      <c r="C578" s="868">
        <v>7.5143405865355222</v>
      </c>
      <c r="D578" s="862"/>
      <c r="E578" s="862"/>
      <c r="F578" s="862"/>
      <c r="G578" s="862"/>
      <c r="H578" s="869">
        <v>7.9952926645681544</v>
      </c>
      <c r="I578" s="862"/>
      <c r="J578" s="862"/>
      <c r="K578" s="862"/>
      <c r="L578" s="862"/>
      <c r="M578" s="863">
        <f>C578/H578-1</f>
        <v>-6.0154405624701424E-2</v>
      </c>
      <c r="N578" s="863"/>
      <c r="O578" s="863"/>
      <c r="P578" s="863"/>
    </row>
    <row r="581" spans="2:26" x14ac:dyDescent="0.55000000000000004">
      <c r="B581" s="833" t="s">
        <v>1160</v>
      </c>
    </row>
    <row r="582" spans="2:26" x14ac:dyDescent="0.55000000000000004">
      <c r="B582" s="680"/>
      <c r="C582" s="1317" t="s">
        <v>774</v>
      </c>
      <c r="D582" s="1317"/>
      <c r="E582" s="1317"/>
      <c r="F582" s="1317"/>
      <c r="G582" s="1317"/>
      <c r="H582" s="1317" t="s">
        <v>1184</v>
      </c>
      <c r="I582" s="1317"/>
      <c r="J582" s="1317"/>
      <c r="K582" s="1317"/>
      <c r="L582" s="870"/>
      <c r="M582" s="680" t="s">
        <v>775</v>
      </c>
      <c r="N582" s="680" t="s">
        <v>775</v>
      </c>
      <c r="O582" s="680" t="s">
        <v>775</v>
      </c>
      <c r="P582" s="680" t="s">
        <v>775</v>
      </c>
      <c r="R582" s="1317" t="s">
        <v>1019</v>
      </c>
      <c r="S582" s="1317"/>
      <c r="T582" s="1317"/>
      <c r="U582" s="1317"/>
      <c r="V582" s="870"/>
      <c r="W582" s="680" t="s">
        <v>775</v>
      </c>
      <c r="X582" s="680" t="s">
        <v>775</v>
      </c>
      <c r="Y582" s="680" t="s">
        <v>775</v>
      </c>
      <c r="Z582" s="680" t="s">
        <v>775</v>
      </c>
    </row>
    <row r="583" spans="2:26" x14ac:dyDescent="0.55000000000000004">
      <c r="B583" s="592" t="s">
        <v>156</v>
      </c>
      <c r="C583" s="592">
        <v>2022</v>
      </c>
      <c r="D583" s="592">
        <f>C583+1</f>
        <v>2023</v>
      </c>
      <c r="E583" s="592">
        <f>D583+1</f>
        <v>2024</v>
      </c>
      <c r="F583" s="592">
        <f>E583+1</f>
        <v>2025</v>
      </c>
      <c r="G583" s="592"/>
      <c r="H583" s="592">
        <f>C583</f>
        <v>2022</v>
      </c>
      <c r="I583" s="592">
        <f>D583</f>
        <v>2023</v>
      </c>
      <c r="J583" s="592">
        <f>E583</f>
        <v>2024</v>
      </c>
      <c r="K583" s="592">
        <f>F583</f>
        <v>2025</v>
      </c>
      <c r="L583" s="592"/>
      <c r="M583" s="592">
        <f>H583</f>
        <v>2022</v>
      </c>
      <c r="N583" s="592">
        <f>I583</f>
        <v>2023</v>
      </c>
      <c r="O583" s="592">
        <f>J583</f>
        <v>2024</v>
      </c>
      <c r="P583" s="592">
        <f>K583</f>
        <v>2025</v>
      </c>
      <c r="Q583" s="592"/>
      <c r="R583" s="592">
        <f>M583</f>
        <v>2022</v>
      </c>
      <c r="S583" s="592">
        <f>N583</f>
        <v>2023</v>
      </c>
      <c r="T583" s="592">
        <f>O583</f>
        <v>2024</v>
      </c>
      <c r="U583" s="592">
        <f>P583</f>
        <v>2025</v>
      </c>
      <c r="V583" s="592"/>
      <c r="W583" s="592">
        <f>R583</f>
        <v>2022</v>
      </c>
      <c r="X583" s="592">
        <f>S583</f>
        <v>2023</v>
      </c>
      <c r="Y583" s="592">
        <f>T583</f>
        <v>2024</v>
      </c>
      <c r="Z583" s="592">
        <f>U583</f>
        <v>2025</v>
      </c>
    </row>
    <row r="584" spans="2:26" x14ac:dyDescent="0.55000000000000004">
      <c r="B584" s="855" t="s">
        <v>356</v>
      </c>
      <c r="C584" s="856">
        <f>Master!G$4</f>
        <v>4790.1710000000003</v>
      </c>
      <c r="D584" s="856">
        <f>Master!H$4</f>
        <v>8028</v>
      </c>
      <c r="E584" s="856">
        <f>Master!I$4</f>
        <v>11957.660811218131</v>
      </c>
      <c r="F584" s="856">
        <f>Master!J$4</f>
        <v>15243.865667997801</v>
      </c>
      <c r="G584" s="856"/>
      <c r="H584" s="856">
        <v>4801.6464475128514</v>
      </c>
      <c r="I584" s="856">
        <v>7491.2513639327772</v>
      </c>
      <c r="J584" s="856">
        <v>8172.8776838012291</v>
      </c>
      <c r="K584" s="856">
        <v>10125.621324221109</v>
      </c>
      <c r="L584" s="856"/>
      <c r="M584" s="857">
        <f>C584/H584-1</f>
        <v>-2.3898984730112982E-3</v>
      </c>
      <c r="N584" s="857">
        <f>D584/I584-1</f>
        <v>7.165006351962E-2</v>
      </c>
      <c r="O584" s="857">
        <f>E584/J584-1</f>
        <v>0.4630906363517957</v>
      </c>
      <c r="P584" s="857">
        <f>F584/K584-1</f>
        <v>0.50547459557207985</v>
      </c>
      <c r="Q584" s="856"/>
      <c r="R584" s="856">
        <v>4772.2212532561953</v>
      </c>
      <c r="S584" s="856">
        <v>6935.3281376948962</v>
      </c>
      <c r="T584" s="856">
        <v>9211.3543661378098</v>
      </c>
      <c r="U584" s="856">
        <v>12144.012965215716</v>
      </c>
      <c r="V584" s="856"/>
      <c r="W584" s="857">
        <f>C584/R584-1</f>
        <v>3.7612981023369407E-3</v>
      </c>
      <c r="X584" s="857">
        <f>D584/S584-1</f>
        <v>0.15755157371231121</v>
      </c>
      <c r="Y584" s="857">
        <f>E584/T584-1</f>
        <v>0.29814361014880908</v>
      </c>
      <c r="Z584" s="857">
        <f>F584/U584-1</f>
        <v>0.25525769049004166</v>
      </c>
    </row>
    <row r="585" spans="2:26" x14ac:dyDescent="0.55000000000000004">
      <c r="B585" s="871"/>
      <c r="C585" s="871"/>
      <c r="D585" s="871"/>
      <c r="E585" s="871"/>
      <c r="F585" s="871"/>
      <c r="G585" s="871"/>
      <c r="H585" s="871"/>
      <c r="I585" s="871"/>
      <c r="J585" s="871"/>
      <c r="K585" s="871"/>
      <c r="L585" s="871"/>
      <c r="M585" s="831"/>
      <c r="N585" s="831"/>
      <c r="O585" s="831"/>
      <c r="P585" s="831"/>
      <c r="Q585" s="871"/>
      <c r="R585" s="871"/>
      <c r="S585" s="871"/>
      <c r="T585" s="871"/>
      <c r="U585" s="871"/>
      <c r="V585" s="871"/>
      <c r="W585" s="831"/>
      <c r="X585" s="831"/>
      <c r="Y585" s="831"/>
      <c r="Z585" s="831"/>
    </row>
    <row r="586" spans="2:26" x14ac:dyDescent="0.55000000000000004">
      <c r="B586" s="858" t="s">
        <v>1074</v>
      </c>
      <c r="C586" s="856">
        <f>Master!G$5</f>
        <v>3555.1709999999998</v>
      </c>
      <c r="D586" s="856">
        <f>Master!H$5</f>
        <v>6439</v>
      </c>
      <c r="E586" s="856">
        <f>Master!I$5</f>
        <v>10103.201107666722</v>
      </c>
      <c r="F586" s="856">
        <f>Master!J$5</f>
        <v>12802.34748502066</v>
      </c>
      <c r="G586" s="856"/>
      <c r="H586" s="856">
        <v>3502.1899716220228</v>
      </c>
      <c r="I586" s="856">
        <v>5644.1381622382569</v>
      </c>
      <c r="J586" s="856">
        <v>6017.1725439409975</v>
      </c>
      <c r="K586" s="856">
        <v>7569.0755334034784</v>
      </c>
      <c r="L586" s="856"/>
      <c r="M586" s="857">
        <f t="shared" ref="M586:P588" si="17">C586/H586-1</f>
        <v>1.5127971014501806E-2</v>
      </c>
      <c r="N586" s="857">
        <f t="shared" si="17"/>
        <v>0.14082962091178342</v>
      </c>
      <c r="O586" s="857">
        <f t="shared" si="17"/>
        <v>0.67906122583108552</v>
      </c>
      <c r="P586" s="857">
        <f t="shared" si="17"/>
        <v>0.69140173440230046</v>
      </c>
      <c r="Q586" s="856"/>
      <c r="R586" s="856">
        <v>3527.9310268281538</v>
      </c>
      <c r="S586" s="856">
        <v>5082.2932809793001</v>
      </c>
      <c r="T586" s="856">
        <v>6521.4947904133323</v>
      </c>
      <c r="U586" s="856">
        <v>8333.6049541390475</v>
      </c>
      <c r="V586" s="856"/>
      <c r="W586" s="857">
        <f t="shared" ref="W586:Z587" si="18">C586/R586-1</f>
        <v>7.7212317827926036E-3</v>
      </c>
      <c r="X586" s="857">
        <f t="shared" si="18"/>
        <v>0.26694774268502619</v>
      </c>
      <c r="Y586" s="857">
        <f t="shared" si="18"/>
        <v>0.54921554526403016</v>
      </c>
      <c r="Z586" s="857">
        <f t="shared" si="18"/>
        <v>0.53623162550585324</v>
      </c>
    </row>
    <row r="587" spans="2:26" x14ac:dyDescent="0.55000000000000004">
      <c r="B587" s="563" t="s">
        <v>88</v>
      </c>
      <c r="C587" s="630" t="e">
        <f>Master!G$6+C588</f>
        <v>#REF!</v>
      </c>
      <c r="D587" s="630" t="e">
        <f>Master!H$6+D588</f>
        <v>#REF!</v>
      </c>
      <c r="E587" s="630" t="e">
        <f>Master!I$6+E588</f>
        <v>#REF!</v>
      </c>
      <c r="F587" s="630" t="e">
        <f>Master!J$6+F588</f>
        <v>#REF!</v>
      </c>
      <c r="G587" s="630"/>
      <c r="H587" s="630">
        <f>1064.9787934999+H588</f>
        <v>1299.4564758908243</v>
      </c>
      <c r="I587" s="630">
        <f>1419.80186612297+I588</f>
        <v>1847.1132016945148</v>
      </c>
      <c r="J587" s="630">
        <f>1629.59912493785+J588</f>
        <v>2155.7051398602371</v>
      </c>
      <c r="K587" s="630">
        <f>1925.2944799952+K588</f>
        <v>2556.5457908176249</v>
      </c>
      <c r="L587" s="630"/>
      <c r="M587" s="631" t="e">
        <f t="shared" si="17"/>
        <v>#REF!</v>
      </c>
      <c r="N587" s="631" t="e">
        <f t="shared" si="17"/>
        <v>#REF!</v>
      </c>
      <c r="O587" s="631" t="e">
        <f t="shared" si="17"/>
        <v>#REF!</v>
      </c>
      <c r="P587" s="631" t="e">
        <f t="shared" si="17"/>
        <v>#REF!</v>
      </c>
      <c r="Q587" s="630"/>
      <c r="R587" s="630">
        <v>1244.2902264280419</v>
      </c>
      <c r="S587" s="630">
        <v>1853.0348567155961</v>
      </c>
      <c r="T587" s="630">
        <v>2689.8595757244775</v>
      </c>
      <c r="U587" s="630">
        <v>3810.4080110766677</v>
      </c>
      <c r="V587" s="630"/>
      <c r="W587" s="631" t="e">
        <f t="shared" si="18"/>
        <v>#REF!</v>
      </c>
      <c r="X587" s="631" t="e">
        <f t="shared" si="18"/>
        <v>#REF!</v>
      </c>
      <c r="Y587" s="631" t="e">
        <f t="shared" si="18"/>
        <v>#REF!</v>
      </c>
      <c r="Z587" s="631" t="e">
        <f t="shared" si="18"/>
        <v>#REF!</v>
      </c>
    </row>
    <row r="588" spans="2:26" x14ac:dyDescent="0.55000000000000004">
      <c r="B588" s="858" t="s">
        <v>362</v>
      </c>
      <c r="C588" s="856" t="e">
        <f>Master!#REF!</f>
        <v>#REF!</v>
      </c>
      <c r="D588" s="856" t="e">
        <f>Master!#REF!</f>
        <v>#REF!</v>
      </c>
      <c r="E588" s="856" t="e">
        <f>Master!#REF!</f>
        <v>#REF!</v>
      </c>
      <c r="F588" s="856" t="e">
        <f>Master!#REF!</f>
        <v>#REF!</v>
      </c>
      <c r="G588" s="856"/>
      <c r="H588" s="856">
        <v>234.47768239092437</v>
      </c>
      <c r="I588" s="856">
        <v>427.3113355715447</v>
      </c>
      <c r="J588" s="856">
        <v>526.10601492238698</v>
      </c>
      <c r="K588" s="856">
        <v>631.2513108224249</v>
      </c>
      <c r="L588" s="856"/>
      <c r="M588" s="857" t="e">
        <f t="shared" si="17"/>
        <v>#REF!</v>
      </c>
      <c r="N588" s="857" t="e">
        <f t="shared" si="17"/>
        <v>#REF!</v>
      </c>
      <c r="O588" s="857" t="e">
        <f t="shared" si="17"/>
        <v>#REF!</v>
      </c>
      <c r="P588" s="857" t="e">
        <f t="shared" si="17"/>
        <v>#REF!</v>
      </c>
      <c r="Q588" s="856"/>
      <c r="R588" s="856"/>
      <c r="S588" s="856"/>
      <c r="T588" s="856"/>
      <c r="U588" s="856"/>
      <c r="V588" s="856"/>
      <c r="W588" s="857"/>
      <c r="X588" s="857"/>
      <c r="Y588" s="857"/>
      <c r="Z588" s="857"/>
    </row>
    <row r="589" spans="2:26" x14ac:dyDescent="0.55000000000000004">
      <c r="B589" s="563"/>
      <c r="C589" s="630"/>
      <c r="D589" s="630"/>
      <c r="E589" s="630"/>
      <c r="F589" s="630"/>
      <c r="G589" s="630"/>
      <c r="H589" s="630"/>
      <c r="I589" s="630"/>
      <c r="J589" s="630"/>
      <c r="K589" s="630"/>
      <c r="L589" s="630"/>
      <c r="M589" s="631"/>
      <c r="N589" s="631"/>
      <c r="O589" s="631"/>
      <c r="P589" s="631"/>
      <c r="Q589" s="630"/>
      <c r="R589" s="630"/>
      <c r="S589" s="630"/>
      <c r="T589" s="630"/>
      <c r="U589" s="630"/>
      <c r="V589" s="630"/>
      <c r="W589" s="631"/>
      <c r="X589" s="631"/>
      <c r="Y589" s="631"/>
      <c r="Z589" s="631"/>
    </row>
    <row r="590" spans="2:26" x14ac:dyDescent="0.55000000000000004">
      <c r="B590" s="858" t="s">
        <v>89</v>
      </c>
      <c r="C590" s="856">
        <f>Master!G$8</f>
        <v>-1548</v>
      </c>
      <c r="D590" s="856">
        <f>Master!H$8</f>
        <v>-2036</v>
      </c>
      <c r="E590" s="856">
        <f>Master!I$8</f>
        <v>-2844.4204600881767</v>
      </c>
      <c r="F590" s="856">
        <f>Master!J$8</f>
        <v>-3461.6073036878447</v>
      </c>
      <c r="G590" s="856"/>
      <c r="H590" s="856">
        <v>-1618.9726513612293</v>
      </c>
      <c r="I590" s="856">
        <v>-2102.2508831687028</v>
      </c>
      <c r="J590" s="856">
        <v>-1766.0145292480106</v>
      </c>
      <c r="K590" s="856">
        <v>-1639.4395948737149</v>
      </c>
      <c r="L590" s="856"/>
      <c r="M590" s="857">
        <f t="shared" ref="M590:P592" si="19">C590/H590-1</f>
        <v>-4.3838079229785332E-2</v>
      </c>
      <c r="N590" s="857">
        <f t="shared" si="19"/>
        <v>-3.1514261070897276E-2</v>
      </c>
      <c r="O590" s="857">
        <f t="shared" si="19"/>
        <v>0.61064386106685298</v>
      </c>
      <c r="P590" s="857">
        <f t="shared" si="19"/>
        <v>1.1114576679200496</v>
      </c>
      <c r="Q590" s="856"/>
      <c r="R590" s="856">
        <v>-1601.7157778955</v>
      </c>
      <c r="S590" s="856">
        <v>-1963.9413885220699</v>
      </c>
      <c r="T590" s="856">
        <v>-1951.9302742156699</v>
      </c>
      <c r="U590" s="856">
        <v>-2202.2132020629601</v>
      </c>
      <c r="V590" s="856"/>
      <c r="W590" s="857">
        <f t="shared" ref="W590:Z592" si="20">C590/R590-1</f>
        <v>-3.3536398053141014E-2</v>
      </c>
      <c r="X590" s="857">
        <f t="shared" si="20"/>
        <v>3.669081567253718E-2</v>
      </c>
      <c r="Y590" s="857">
        <f t="shared" si="20"/>
        <v>0.45723466542939395</v>
      </c>
      <c r="Z590" s="857">
        <f t="shared" si="20"/>
        <v>0.57187655602333409</v>
      </c>
    </row>
    <row r="591" spans="2:26" x14ac:dyDescent="0.55000000000000004">
      <c r="B591" s="563" t="s">
        <v>599</v>
      </c>
      <c r="C591" s="630">
        <f>Master!G$10</f>
        <v>-174</v>
      </c>
      <c r="D591" s="630">
        <f>Master!H$10</f>
        <v>-215</v>
      </c>
      <c r="E591" s="630">
        <f>Master!I$10</f>
        <v>-268.75</v>
      </c>
      <c r="F591" s="630">
        <f>Master!J$10</f>
        <v>-349.375</v>
      </c>
      <c r="G591" s="630"/>
      <c r="H591" s="630">
        <v>-210</v>
      </c>
      <c r="I591" s="630">
        <v>-315</v>
      </c>
      <c r="J591" s="630">
        <v>-472.5</v>
      </c>
      <c r="K591" s="630">
        <v>-637.875</v>
      </c>
      <c r="L591" s="630"/>
      <c r="M591" s="631">
        <f t="shared" si="19"/>
        <v>-0.17142857142857137</v>
      </c>
      <c r="N591" s="631">
        <f t="shared" si="19"/>
        <v>-0.31746031746031744</v>
      </c>
      <c r="O591" s="631">
        <f t="shared" si="19"/>
        <v>-0.43121693121693117</v>
      </c>
      <c r="P591" s="631">
        <f t="shared" si="19"/>
        <v>-0.45228297080148927</v>
      </c>
      <c r="Q591" s="630"/>
      <c r="R591" s="630">
        <v>-174.8213147481186</v>
      </c>
      <c r="S591" s="630">
        <v>-232.2156282785138</v>
      </c>
      <c r="T591" s="630">
        <v>-289.83097367701077</v>
      </c>
      <c r="U591" s="630">
        <v>-337.97586128397751</v>
      </c>
      <c r="V591" s="630"/>
      <c r="W591" s="631">
        <f t="shared" si="20"/>
        <v>-4.6980240899225922E-3</v>
      </c>
      <c r="X591" s="631">
        <f t="shared" si="20"/>
        <v>-7.4136389553703053E-2</v>
      </c>
      <c r="Y591" s="631">
        <f t="shared" si="20"/>
        <v>-7.2735406466610142E-2</v>
      </c>
      <c r="Z591" s="631">
        <f t="shared" si="20"/>
        <v>3.3727671179583529E-2</v>
      </c>
    </row>
    <row r="592" spans="2:26" x14ac:dyDescent="0.55000000000000004">
      <c r="B592" s="858" t="s">
        <v>90</v>
      </c>
      <c r="C592" s="856">
        <f>Master!G$12</f>
        <v>-1405</v>
      </c>
      <c r="D592" s="856">
        <f>Master!H$12</f>
        <v>-2285</v>
      </c>
      <c r="E592" s="856">
        <f>Master!I$12</f>
        <v>-3397.7659999999996</v>
      </c>
      <c r="F592" s="856">
        <f>Master!J$12</f>
        <v>-4216.4800000000005</v>
      </c>
      <c r="G592" s="856"/>
      <c r="H592" s="856">
        <v>-1401.28</v>
      </c>
      <c r="I592" s="856">
        <v>-1912.8400000000001</v>
      </c>
      <c r="J592" s="856">
        <v>-2437.1600000000003</v>
      </c>
      <c r="K592" s="856">
        <v>-2922.84</v>
      </c>
      <c r="L592" s="856"/>
      <c r="M592" s="857">
        <f t="shared" si="19"/>
        <v>2.6547156885132761E-3</v>
      </c>
      <c r="N592" s="857">
        <f t="shared" si="19"/>
        <v>0.19455887580769948</v>
      </c>
      <c r="O592" s="857">
        <f t="shared" si="19"/>
        <v>0.39414974806742231</v>
      </c>
      <c r="P592" s="857">
        <f t="shared" si="19"/>
        <v>0.4425969262771825</v>
      </c>
      <c r="Q592" s="856"/>
      <c r="R592" s="856">
        <v>-1449.4215476416759</v>
      </c>
      <c r="S592" s="856">
        <v>-2107.2764020354962</v>
      </c>
      <c r="T592" s="856">
        <v>-2548.6992191867475</v>
      </c>
      <c r="U592" s="856">
        <v>-2869.3119133615951</v>
      </c>
      <c r="V592" s="856"/>
      <c r="W592" s="857">
        <f t="shared" si="20"/>
        <v>-3.0647776496736445E-2</v>
      </c>
      <c r="X592" s="857">
        <f t="shared" si="20"/>
        <v>8.4338057310770376E-2</v>
      </c>
      <c r="Y592" s="857">
        <f t="shared" si="20"/>
        <v>0.33313730173471656</v>
      </c>
      <c r="Z592" s="857">
        <f t="shared" si="20"/>
        <v>0.46950911135349727</v>
      </c>
    </row>
    <row r="593" spans="2:26" x14ac:dyDescent="0.55000000000000004">
      <c r="B593" s="563"/>
      <c r="C593" s="630"/>
      <c r="D593" s="630"/>
      <c r="E593" s="630"/>
      <c r="F593" s="630"/>
      <c r="G593" s="630"/>
      <c r="H593" s="630"/>
      <c r="I593" s="630"/>
      <c r="J593" s="630"/>
      <c r="K593" s="630"/>
      <c r="L593" s="630"/>
      <c r="M593" s="631"/>
      <c r="N593" s="631"/>
      <c r="O593" s="631"/>
      <c r="P593" s="631"/>
      <c r="Q593" s="630"/>
      <c r="R593" s="630"/>
      <c r="S593" s="630"/>
      <c r="T593" s="630"/>
      <c r="U593" s="630"/>
      <c r="V593" s="630"/>
      <c r="W593" s="631"/>
      <c r="X593" s="631"/>
      <c r="Y593" s="631"/>
      <c r="Z593" s="631"/>
    </row>
    <row r="594" spans="2:26" x14ac:dyDescent="0.55000000000000004">
      <c r="B594" s="858" t="s">
        <v>1075</v>
      </c>
      <c r="C594" s="856">
        <f>Master!G$13</f>
        <v>-3127</v>
      </c>
      <c r="D594" s="856">
        <f>Master!H$13</f>
        <v>-4536</v>
      </c>
      <c r="E594" s="856">
        <f>Master!I$13</f>
        <v>-6510.9364600881763</v>
      </c>
      <c r="F594" s="856">
        <f>Master!J$13</f>
        <v>-8027.4623036878456</v>
      </c>
      <c r="G594" s="856"/>
      <c r="H594" s="856">
        <v>-3230.2526513612293</v>
      </c>
      <c r="I594" s="856">
        <v>-4330.0908831687029</v>
      </c>
      <c r="J594" s="856">
        <v>-4675.6745292480109</v>
      </c>
      <c r="K594" s="856">
        <v>-5200.1545948737148</v>
      </c>
      <c r="L594" s="856"/>
      <c r="M594" s="857">
        <f>C594/H594-1</f>
        <v>-3.1964264874983828E-2</v>
      </c>
      <c r="N594" s="857">
        <f>D594/I594-1</f>
        <v>4.7553070452095447E-2</v>
      </c>
      <c r="O594" s="857">
        <f>E594/J594-1</f>
        <v>0.39251276352961439</v>
      </c>
      <c r="P594" s="857">
        <f>F594/K594-1</f>
        <v>0.54369685693599878</v>
      </c>
      <c r="Q594" s="856"/>
      <c r="R594" s="856">
        <v>-3225.9586402852983</v>
      </c>
      <c r="S594" s="856">
        <v>-4303.4334188360763</v>
      </c>
      <c r="T594" s="856">
        <v>-4790.4604670794306</v>
      </c>
      <c r="U594" s="856">
        <v>-5409.5009767085321</v>
      </c>
      <c r="V594" s="856"/>
      <c r="W594" s="857">
        <f>C594/R594-1</f>
        <v>-3.0675731253810068E-2</v>
      </c>
      <c r="X594" s="857">
        <f>D594/S594-1</f>
        <v>5.4042100464708698E-2</v>
      </c>
      <c r="Y594" s="857">
        <f>E594/T594-1</f>
        <v>0.35914626680087336</v>
      </c>
      <c r="Z594" s="857">
        <f>F594/U594-1</f>
        <v>0.48395616125246366</v>
      </c>
    </row>
    <row r="595" spans="2:26" x14ac:dyDescent="0.55000000000000004">
      <c r="B595" s="563"/>
      <c r="C595" s="630"/>
      <c r="D595" s="630"/>
      <c r="E595" s="630"/>
      <c r="F595" s="630"/>
      <c r="G595" s="630"/>
      <c r="H595" s="630"/>
      <c r="I595" s="630"/>
      <c r="J595" s="630"/>
      <c r="K595" s="630"/>
      <c r="L595" s="630"/>
      <c r="M595" s="631"/>
      <c r="N595" s="631"/>
      <c r="O595" s="631"/>
      <c r="P595" s="631"/>
      <c r="Q595" s="630"/>
      <c r="R595" s="630"/>
      <c r="S595" s="630"/>
      <c r="T595" s="630"/>
      <c r="U595" s="630"/>
      <c r="V595" s="630"/>
      <c r="W595" s="631"/>
      <c r="X595" s="631"/>
      <c r="Y595" s="631"/>
      <c r="Z595" s="631"/>
    </row>
    <row r="596" spans="2:26" x14ac:dyDescent="0.55000000000000004">
      <c r="B596" s="858" t="s">
        <v>408</v>
      </c>
      <c r="C596" s="856">
        <f>Master!G$15</f>
        <v>1663.1710000000003</v>
      </c>
      <c r="D596" s="856">
        <f>Master!H$15</f>
        <v>3492</v>
      </c>
      <c r="E596" s="856">
        <f>Master!I$15</f>
        <v>5446.7243511299548</v>
      </c>
      <c r="F596" s="856">
        <f>Master!J$15</f>
        <v>7216.4033643099556</v>
      </c>
      <c r="G596" s="856"/>
      <c r="H596" s="856">
        <v>1571.3937961516222</v>
      </c>
      <c r="I596" s="856">
        <v>3161.1604807640742</v>
      </c>
      <c r="J596" s="856">
        <v>3497.2031545532182</v>
      </c>
      <c r="K596" s="856">
        <v>4925.466729347394</v>
      </c>
      <c r="L596" s="856"/>
      <c r="M596" s="857">
        <f>C596/H596-1</f>
        <v>5.8404967661920493E-2</v>
      </c>
      <c r="N596" s="857">
        <f>D596/I596-1</f>
        <v>0.10465761584997413</v>
      </c>
      <c r="O596" s="857">
        <f>E596/J596-1</f>
        <v>0.55745151494517509</v>
      </c>
      <c r="P596" s="857">
        <f>F596/K596-1</f>
        <v>0.46512072070500055</v>
      </c>
      <c r="Q596" s="856"/>
      <c r="R596" s="856"/>
      <c r="S596" s="856"/>
      <c r="T596" s="856"/>
      <c r="U596" s="856"/>
      <c r="V596" s="856"/>
      <c r="W596" s="857"/>
      <c r="X596" s="857"/>
      <c r="Y596" s="857"/>
      <c r="Z596" s="857"/>
    </row>
    <row r="597" spans="2:26" x14ac:dyDescent="0.55000000000000004">
      <c r="B597" s="563"/>
      <c r="C597" s="630"/>
      <c r="D597" s="630"/>
      <c r="E597" s="630"/>
      <c r="F597" s="630"/>
      <c r="G597" s="630"/>
      <c r="H597" s="630"/>
      <c r="I597" s="630"/>
      <c r="J597" s="630"/>
      <c r="K597" s="630"/>
      <c r="L597" s="630"/>
      <c r="M597" s="631"/>
      <c r="N597" s="631"/>
      <c r="O597" s="631"/>
      <c r="P597" s="631"/>
      <c r="Q597" s="630"/>
      <c r="R597" s="630"/>
      <c r="S597" s="630"/>
      <c r="T597" s="630"/>
      <c r="U597" s="630"/>
      <c r="V597" s="630"/>
      <c r="W597" s="631"/>
      <c r="X597" s="631"/>
      <c r="Y597" s="631"/>
      <c r="Z597" s="631"/>
    </row>
    <row r="598" spans="2:26" hidden="1" x14ac:dyDescent="0.55000000000000004">
      <c r="B598" s="859" t="s">
        <v>11</v>
      </c>
      <c r="C598" s="860">
        <f>C584+C594</f>
        <v>1663.1710000000003</v>
      </c>
      <c r="D598" s="860">
        <f>D584+D594</f>
        <v>3492</v>
      </c>
      <c r="E598" s="860">
        <f>E584+E594</f>
        <v>5446.7243511299548</v>
      </c>
      <c r="F598" s="860">
        <f>F584+F594</f>
        <v>7216.4033643099556</v>
      </c>
      <c r="G598" s="860"/>
      <c r="H598" s="860">
        <v>1571.3937961516222</v>
      </c>
      <c r="I598" s="860">
        <v>3161.1604807640742</v>
      </c>
      <c r="J598" s="860">
        <v>3497.2031545532182</v>
      </c>
      <c r="K598" s="860">
        <v>4925.466729347394</v>
      </c>
      <c r="L598" s="860"/>
      <c r="M598" s="861">
        <f>C598/H598-1</f>
        <v>5.8404967661920493E-2</v>
      </c>
      <c r="N598" s="861">
        <f>D598/I598-1</f>
        <v>0.10465761584997413</v>
      </c>
      <c r="O598" s="861">
        <f>E598/J598-1</f>
        <v>0.55745151494517509</v>
      </c>
      <c r="P598" s="861">
        <f>F598/K598-1</f>
        <v>0.46512072070500055</v>
      </c>
      <c r="Q598" s="860"/>
      <c r="R598" s="860">
        <f>R584+R594</f>
        <v>1546.262612970897</v>
      </c>
      <c r="S598" s="860">
        <f>S584+S594</f>
        <v>2631.8947188588199</v>
      </c>
      <c r="T598" s="860">
        <f>T584+T594</f>
        <v>4420.8938990583792</v>
      </c>
      <c r="U598" s="860">
        <f>U584+U594</f>
        <v>6734.5119885071836</v>
      </c>
      <c r="V598" s="860"/>
      <c r="W598" s="861">
        <f>C598/R598-1</f>
        <v>7.5607070913059626E-2</v>
      </c>
      <c r="X598" s="861">
        <f>D598/S598-1</f>
        <v>0.32680079297173359</v>
      </c>
      <c r="Y598" s="861">
        <f>E598/T598-1</f>
        <v>0.23204140960950692</v>
      </c>
      <c r="Z598" s="861">
        <f>F598/U598-1</f>
        <v>7.1555500476522482E-2</v>
      </c>
    </row>
    <row r="599" spans="2:26" hidden="1" x14ac:dyDescent="0.55000000000000004">
      <c r="B599" s="872"/>
      <c r="C599" s="871"/>
      <c r="D599" s="871"/>
      <c r="E599" s="871"/>
      <c r="F599" s="871"/>
      <c r="G599" s="871"/>
      <c r="H599" s="871"/>
      <c r="I599" s="871"/>
      <c r="J599" s="871"/>
      <c r="K599" s="871"/>
      <c r="L599" s="871"/>
      <c r="M599" s="831"/>
      <c r="N599" s="831"/>
      <c r="O599" s="831"/>
      <c r="P599" s="831"/>
      <c r="Q599" s="871"/>
      <c r="R599" s="871"/>
      <c r="S599" s="871"/>
      <c r="T599" s="871"/>
      <c r="U599" s="871"/>
      <c r="V599" s="871"/>
      <c r="W599" s="831"/>
      <c r="X599" s="831"/>
      <c r="Y599" s="831"/>
      <c r="Z599" s="831"/>
    </row>
    <row r="600" spans="2:26" x14ac:dyDescent="0.55000000000000004">
      <c r="B600" s="877" t="s">
        <v>97</v>
      </c>
      <c r="C600" s="878">
        <f>Master!G$40</f>
        <v>-1971</v>
      </c>
      <c r="D600" s="878">
        <f>Master!H$40</f>
        <v>-1951</v>
      </c>
      <c r="E600" s="878">
        <f>Master!I$40</f>
        <v>-2593.4254625444614</v>
      </c>
      <c r="F600" s="878">
        <f>Master!J$40</f>
        <v>-3008.4291239157888</v>
      </c>
      <c r="G600" s="878"/>
      <c r="H600" s="878">
        <v>-1632.9153380715225</v>
      </c>
      <c r="I600" s="878">
        <v>-2382.2179337306229</v>
      </c>
      <c r="J600" s="878">
        <v>-2394.65316135376</v>
      </c>
      <c r="K600" s="878">
        <v>-2744.0433788639202</v>
      </c>
      <c r="L600" s="878"/>
      <c r="M600" s="857">
        <f>C600/H600-1</f>
        <v>0.20704359500214897</v>
      </c>
      <c r="N600" s="857">
        <f>D600/I600-1</f>
        <v>-0.18101531670333915</v>
      </c>
      <c r="O600" s="857">
        <f>E600/J600-1</f>
        <v>8.3006718634079935E-2</v>
      </c>
      <c r="P600" s="857">
        <f>F600/K600-1</f>
        <v>9.6348967034671551E-2</v>
      </c>
      <c r="Q600" s="878"/>
      <c r="R600" s="878">
        <v>-1695.9374627266197</v>
      </c>
      <c r="S600" s="878">
        <v>-2444.3755384835026</v>
      </c>
      <c r="T600" s="878">
        <v>-3175.0177522376439</v>
      </c>
      <c r="U600" s="878">
        <v>-4170.1362128686933</v>
      </c>
      <c r="V600" s="878"/>
      <c r="W600" s="857">
        <f>C600/R600-1</f>
        <v>0.16218908026900491</v>
      </c>
      <c r="X600" s="857">
        <f>D600/S600-1</f>
        <v>-0.20184113722132657</v>
      </c>
      <c r="Y600" s="857">
        <f>E600/T600-1</f>
        <v>-0.18317764972598849</v>
      </c>
      <c r="Z600" s="857">
        <f>F600/U600-1</f>
        <v>-0.27857773215368198</v>
      </c>
    </row>
    <row r="601" spans="2:26" x14ac:dyDescent="0.55000000000000004">
      <c r="B601" s="872"/>
      <c r="C601" s="871"/>
      <c r="D601" s="871"/>
      <c r="E601" s="871"/>
      <c r="F601" s="871"/>
      <c r="G601" s="871"/>
      <c r="H601" s="871"/>
      <c r="I601" s="871"/>
      <c r="J601" s="871"/>
      <c r="K601" s="871"/>
      <c r="L601" s="871"/>
      <c r="M601" s="831"/>
      <c r="N601" s="831"/>
      <c r="O601" s="831"/>
      <c r="P601" s="831"/>
      <c r="Q601" s="871"/>
      <c r="R601" s="871"/>
      <c r="S601" s="871"/>
      <c r="T601" s="871"/>
      <c r="U601" s="871"/>
      <c r="V601" s="871"/>
      <c r="W601" s="831"/>
      <c r="X601" s="831"/>
      <c r="Y601" s="831"/>
      <c r="Z601" s="831"/>
    </row>
    <row r="602" spans="2:26" x14ac:dyDescent="0.55000000000000004">
      <c r="B602" s="858" t="s">
        <v>776</v>
      </c>
      <c r="C602" s="856">
        <f>Master!G$47</f>
        <v>-307.82899999999972</v>
      </c>
      <c r="D602" s="856">
        <f>Master!H$47</f>
        <v>1541</v>
      </c>
      <c r="E602" s="856">
        <f>Master!I$47</f>
        <v>2853.2988885854934</v>
      </c>
      <c r="F602" s="856">
        <f>Master!J$47</f>
        <v>4207.9742403941673</v>
      </c>
      <c r="G602" s="856"/>
      <c r="H602" s="856">
        <v>-61.521541919900301</v>
      </c>
      <c r="I602" s="856">
        <v>778.94254703345132</v>
      </c>
      <c r="J602" s="856">
        <v>1102.5499931994582</v>
      </c>
      <c r="K602" s="856">
        <v>2181.4233504834738</v>
      </c>
      <c r="L602" s="856"/>
      <c r="M602" s="857">
        <f>C602/H602-1</f>
        <v>4.0035969579693944</v>
      </c>
      <c r="N602" s="857">
        <f>D602/I602-1</f>
        <v>0.97832305587721669</v>
      </c>
      <c r="O602" s="857">
        <f>E602/J602-1</f>
        <v>1.5879088532807364</v>
      </c>
      <c r="P602" s="857">
        <f>F602/K602-1</f>
        <v>0.92900394114766605</v>
      </c>
      <c r="Q602" s="856"/>
      <c r="R602" s="856">
        <v>-139.12992860471525</v>
      </c>
      <c r="S602" s="856">
        <v>281.78051508071525</v>
      </c>
      <c r="T602" s="856">
        <v>1120.0108712496331</v>
      </c>
      <c r="U602" s="856">
        <v>2305.2347321453499</v>
      </c>
      <c r="V602" s="856"/>
      <c r="W602" s="857">
        <f>C602/R602-1</f>
        <v>1.2125289870203173</v>
      </c>
      <c r="X602" s="857">
        <f>D602/S602-1</f>
        <v>4.4687954543577462</v>
      </c>
      <c r="Y602" s="857">
        <f>E602/T602-1</f>
        <v>1.5475635655232289</v>
      </c>
      <c r="Z602" s="857">
        <f>F602/U602-1</f>
        <v>0.82539946223959881</v>
      </c>
    </row>
    <row r="603" spans="2:26" x14ac:dyDescent="0.55000000000000004">
      <c r="B603" s="871"/>
      <c r="C603" s="871"/>
      <c r="D603" s="871"/>
      <c r="E603" s="871"/>
      <c r="F603" s="871"/>
      <c r="G603" s="871"/>
      <c r="H603" s="871"/>
      <c r="I603" s="871"/>
      <c r="J603" s="871"/>
      <c r="K603" s="871"/>
      <c r="L603" s="871"/>
      <c r="M603" s="831"/>
      <c r="N603" s="831"/>
      <c r="O603" s="831"/>
      <c r="P603" s="831"/>
      <c r="Q603" s="871"/>
      <c r="R603" s="871"/>
      <c r="S603" s="871"/>
      <c r="T603" s="871"/>
      <c r="U603" s="871"/>
      <c r="V603" s="871"/>
      <c r="W603" s="831"/>
      <c r="X603" s="831"/>
      <c r="Y603" s="831"/>
      <c r="Z603" s="831"/>
    </row>
    <row r="604" spans="2:26" x14ac:dyDescent="0.55000000000000004">
      <c r="B604" s="862" t="s">
        <v>14</v>
      </c>
      <c r="C604" s="862">
        <f>Master!G$62</f>
        <v>-363.82899999999972</v>
      </c>
      <c r="D604" s="862">
        <f>Master!H$62</f>
        <v>1033</v>
      </c>
      <c r="E604" s="862">
        <f>Master!I$62</f>
        <v>1941.3195554341974</v>
      </c>
      <c r="F604" s="862">
        <f>Master!J$62</f>
        <v>2819.342741064092</v>
      </c>
      <c r="G604" s="862"/>
      <c r="H604" s="862">
        <v>-81.521541919900301</v>
      </c>
      <c r="I604" s="862">
        <v>984.34033505271373</v>
      </c>
      <c r="J604" s="862">
        <v>1336.8538437147233</v>
      </c>
      <c r="K604" s="862">
        <v>2089.191913161394</v>
      </c>
      <c r="L604" s="862"/>
      <c r="M604" s="863">
        <f>C604/H604-1</f>
        <v>3.4629798631321655</v>
      </c>
      <c r="N604" s="863">
        <f>D604/I604-1</f>
        <v>4.9433781401104993E-2</v>
      </c>
      <c r="O604" s="863">
        <f>E604/J604-1</f>
        <v>0.45215542040096302</v>
      </c>
      <c r="P604" s="863">
        <f>F604/K604-1</f>
        <v>0.34948959131180235</v>
      </c>
      <c r="Q604" s="862"/>
      <c r="R604" s="862">
        <v>-102.6287875991295</v>
      </c>
      <c r="S604" s="862">
        <v>177.59898485703724</v>
      </c>
      <c r="T604" s="862">
        <v>718.4239750777657</v>
      </c>
      <c r="U604" s="862">
        <v>1515.3421148625555</v>
      </c>
      <c r="V604" s="862"/>
      <c r="W604" s="863">
        <f>C604/R604-1</f>
        <v>2.5450969314879224</v>
      </c>
      <c r="X604" s="863">
        <f>D604/S604-1</f>
        <v>4.8164746878003797</v>
      </c>
      <c r="Y604" s="863">
        <f>E604/T604-1</f>
        <v>1.7021920520178346</v>
      </c>
      <c r="Z604" s="863">
        <f>F604/U604-1</f>
        <v>0.86053216195328397</v>
      </c>
    </row>
    <row r="605" spans="2:26" x14ac:dyDescent="0.55000000000000004">
      <c r="B605" s="871"/>
      <c r="C605" s="871"/>
      <c r="D605" s="871"/>
      <c r="E605" s="871"/>
      <c r="F605" s="871"/>
      <c r="G605" s="871"/>
      <c r="H605" s="871"/>
      <c r="I605" s="871"/>
      <c r="J605" s="871"/>
      <c r="K605" s="871"/>
      <c r="L605" s="871"/>
      <c r="M605" s="831"/>
      <c r="N605" s="831"/>
      <c r="O605" s="831"/>
      <c r="P605" s="831"/>
      <c r="Q605" s="871"/>
      <c r="R605" s="871"/>
      <c r="S605" s="871"/>
      <c r="T605" s="871"/>
      <c r="U605" s="871"/>
      <c r="V605" s="871"/>
      <c r="W605" s="831"/>
      <c r="X605" s="831"/>
      <c r="Y605" s="831"/>
      <c r="Z605" s="831"/>
    </row>
    <row r="606" spans="2:26" x14ac:dyDescent="0.55000000000000004">
      <c r="B606" s="858" t="s">
        <v>777</v>
      </c>
      <c r="C606" s="856">
        <f>C608+C610</f>
        <v>9906</v>
      </c>
      <c r="D606" s="856">
        <f>D608+D610</f>
        <v>15616</v>
      </c>
      <c r="E606" s="856">
        <f>E608+E610</f>
        <v>18931.525772778845</v>
      </c>
      <c r="F606" s="856">
        <f>F608+F610</f>
        <v>24610.966651964809</v>
      </c>
      <c r="G606" s="856"/>
      <c r="H606" s="856">
        <v>10471.374327208256</v>
      </c>
      <c r="I606" s="856">
        <v>15810.762742732695</v>
      </c>
      <c r="J606" s="856">
        <v>22840.779326053886</v>
      </c>
      <c r="K606" s="856">
        <v>29973.999098835324</v>
      </c>
      <c r="L606" s="856"/>
      <c r="M606" s="857">
        <f>C606/H606-1</f>
        <v>-5.3992370966933878E-2</v>
      </c>
      <c r="N606" s="857">
        <f>D606/I606-1</f>
        <v>-1.2318364768468704E-2</v>
      </c>
      <c r="O606" s="857">
        <f>E606/J606-1</f>
        <v>-0.17115237170633035</v>
      </c>
      <c r="P606" s="857">
        <f>F606/K606-1</f>
        <v>-0.17892282004768933</v>
      </c>
      <c r="Q606" s="856"/>
      <c r="R606" s="856">
        <f>R608+R610</f>
        <v>10438.386047049447</v>
      </c>
      <c r="S606" s="856">
        <f>S608+S610</f>
        <v>15566.226703383643</v>
      </c>
      <c r="T606" s="856">
        <f>T608+T610</f>
        <v>19787.477355243114</v>
      </c>
      <c r="U606" s="856">
        <f>U608+U610</f>
        <v>23462.284452038155</v>
      </c>
      <c r="V606" s="856"/>
      <c r="W606" s="857">
        <f>C606/R606-1</f>
        <v>-5.1002716765771838E-2</v>
      </c>
      <c r="X606" s="857">
        <f>D606/S606-1</f>
        <v>3.1975184201535889E-3</v>
      </c>
      <c r="Y606" s="857">
        <f>E606/T606-1</f>
        <v>-4.325723623569766E-2</v>
      </c>
      <c r="Z606" s="857">
        <f>F606/U606-1</f>
        <v>4.8958668209602596E-2</v>
      </c>
    </row>
    <row r="607" spans="2:26" x14ac:dyDescent="0.55000000000000004">
      <c r="B607" s="563"/>
      <c r="C607" s="651"/>
      <c r="D607" s="651"/>
      <c r="E607" s="651"/>
      <c r="F607" s="651"/>
      <c r="G607" s="651"/>
      <c r="H607" s="630"/>
      <c r="I607" s="630"/>
      <c r="J607" s="630"/>
      <c r="K607" s="630"/>
      <c r="L607" s="630"/>
      <c r="M607" s="631"/>
      <c r="N607" s="631"/>
      <c r="O607" s="631"/>
      <c r="P607" s="631"/>
      <c r="Q607" s="651"/>
      <c r="R607" s="630"/>
      <c r="S607" s="630"/>
      <c r="T607" s="630"/>
      <c r="U607" s="630"/>
      <c r="V607" s="630"/>
      <c r="W607" s="631"/>
      <c r="X607" s="631"/>
      <c r="Y607" s="631"/>
      <c r="Z607" s="631"/>
    </row>
    <row r="608" spans="2:26" x14ac:dyDescent="0.55000000000000004">
      <c r="B608" s="858" t="s">
        <v>106</v>
      </c>
      <c r="C608" s="856">
        <f>Master!G$193</f>
        <v>8233</v>
      </c>
      <c r="D608" s="856">
        <f>Master!H$193</f>
        <v>12414</v>
      </c>
      <c r="E608" s="856">
        <f>Master!I$193</f>
        <v>13815.930217466615</v>
      </c>
      <c r="F608" s="856">
        <f>Master!J$193</f>
        <v>17490.813710703274</v>
      </c>
      <c r="G608" s="856"/>
      <c r="H608" s="856">
        <v>8359.1229538228581</v>
      </c>
      <c r="I608" s="856">
        <v>12527.156510783097</v>
      </c>
      <c r="J608" s="856">
        <v>16866.849292565999</v>
      </c>
      <c r="K608" s="856">
        <v>19638.275564903575</v>
      </c>
      <c r="L608" s="856"/>
      <c r="M608" s="857">
        <f>C608/H608-1</f>
        <v>-1.5088060615878196E-2</v>
      </c>
      <c r="N608" s="857">
        <f>D608/I608-1</f>
        <v>-9.0328967061036325E-3</v>
      </c>
      <c r="O608" s="857">
        <f>E608/J608-1</f>
        <v>-0.18088257161603172</v>
      </c>
      <c r="P608" s="857">
        <f>F608/K608-1</f>
        <v>-0.10935083618228292</v>
      </c>
      <c r="Q608" s="856"/>
      <c r="R608" s="856">
        <v>8632.4909764426829</v>
      </c>
      <c r="S608" s="856">
        <v>12582.479197013976</v>
      </c>
      <c r="T608" s="856">
        <v>15520.601759852734</v>
      </c>
      <c r="U608" s="856">
        <v>16940.955523928635</v>
      </c>
      <c r="V608" s="856"/>
      <c r="W608" s="857">
        <f>C608/R608-1</f>
        <v>-4.627760139371806E-2</v>
      </c>
      <c r="X608" s="857">
        <f>D608/S608-1</f>
        <v>-1.3389984149861256E-2</v>
      </c>
      <c r="Y608" s="857">
        <f>E608/T608-1</f>
        <v>-0.10983282534802263</v>
      </c>
      <c r="Z608" s="857">
        <f>F608/U608-1</f>
        <v>3.245733016641128E-2</v>
      </c>
    </row>
    <row r="609" spans="2:26" x14ac:dyDescent="0.55000000000000004">
      <c r="B609" s="563"/>
      <c r="C609" s="651"/>
      <c r="D609" s="651"/>
      <c r="E609" s="651"/>
      <c r="F609" s="651"/>
      <c r="G609" s="651"/>
      <c r="H609" s="630"/>
      <c r="I609" s="630"/>
      <c r="J609" s="630"/>
      <c r="K609" s="630"/>
      <c r="L609" s="630"/>
      <c r="M609" s="631"/>
      <c r="N609" s="631"/>
      <c r="O609" s="631"/>
      <c r="P609" s="631"/>
      <c r="Q609" s="651"/>
      <c r="R609" s="630"/>
      <c r="S609" s="630"/>
      <c r="T609" s="630"/>
      <c r="U609" s="630"/>
      <c r="V609" s="630"/>
      <c r="W609" s="631"/>
      <c r="X609" s="631"/>
      <c r="Y609" s="631"/>
      <c r="Z609" s="631"/>
    </row>
    <row r="610" spans="2:26" x14ac:dyDescent="0.55000000000000004">
      <c r="B610" s="858" t="s">
        <v>107</v>
      </c>
      <c r="C610" s="856">
        <f>Master!G$194</f>
        <v>1673</v>
      </c>
      <c r="D610" s="856">
        <f>Master!H$194</f>
        <v>3202</v>
      </c>
      <c r="E610" s="856">
        <f>Master!I$194</f>
        <v>5115.5955553122285</v>
      </c>
      <c r="F610" s="856">
        <f>Master!J$194</f>
        <v>7120.1529412615355</v>
      </c>
      <c r="G610" s="856"/>
      <c r="H610" s="856">
        <v>2112.2513733853971</v>
      </c>
      <c r="I610" s="856">
        <v>3283.6062319495982</v>
      </c>
      <c r="J610" s="856">
        <v>5973.9300334878862</v>
      </c>
      <c r="K610" s="856">
        <v>10335.723533931749</v>
      </c>
      <c r="L610" s="856"/>
      <c r="M610" s="857">
        <f>C610/H610-1</f>
        <v>-0.20795411896520144</v>
      </c>
      <c r="N610" s="857">
        <f>D610/I610-1</f>
        <v>-2.485262427497148E-2</v>
      </c>
      <c r="O610" s="857">
        <f>E610/J610-1</f>
        <v>-0.1436800353141261</v>
      </c>
      <c r="P610" s="857">
        <f>F610/K610-1</f>
        <v>-0.31111228760266552</v>
      </c>
      <c r="Q610" s="856"/>
      <c r="R610" s="856">
        <v>1805.8950706067651</v>
      </c>
      <c r="S610" s="856">
        <v>2983.7475063696675</v>
      </c>
      <c r="T610" s="856">
        <v>4266.8755953903801</v>
      </c>
      <c r="U610" s="856">
        <v>6521.3289281095203</v>
      </c>
      <c r="V610" s="856"/>
      <c r="W610" s="857">
        <f>C610/R610-1</f>
        <v>-7.3589586000760043E-2</v>
      </c>
      <c r="X610" s="857">
        <f>D610/S610-1</f>
        <v>7.314710549884329E-2</v>
      </c>
      <c r="Y610" s="857">
        <f>E610/T610-1</f>
        <v>0.19890900049646243</v>
      </c>
      <c r="Z610" s="857">
        <f>F610/U610-1</f>
        <v>9.1825457625798634E-2</v>
      </c>
    </row>
    <row r="611" spans="2:26" x14ac:dyDescent="0.55000000000000004">
      <c r="B611" s="871"/>
      <c r="C611" s="871"/>
      <c r="D611" s="871"/>
      <c r="E611" s="871"/>
      <c r="F611" s="871"/>
      <c r="G611" s="871"/>
      <c r="H611" s="871"/>
      <c r="I611" s="871"/>
      <c r="J611" s="871"/>
      <c r="K611" s="871"/>
      <c r="L611" s="871"/>
      <c r="M611" s="831"/>
      <c r="N611" s="831"/>
      <c r="O611" s="831"/>
      <c r="P611" s="831"/>
      <c r="Q611" s="871"/>
      <c r="R611" s="871"/>
      <c r="S611" s="871"/>
      <c r="T611" s="871"/>
      <c r="U611" s="871"/>
      <c r="V611" s="871"/>
      <c r="W611" s="831"/>
      <c r="X611" s="831"/>
      <c r="Y611" s="831"/>
      <c r="Z611" s="831"/>
    </row>
    <row r="612" spans="2:26" x14ac:dyDescent="0.55000000000000004">
      <c r="B612" s="866" t="s">
        <v>779</v>
      </c>
      <c r="C612" s="867">
        <f>'Revenue and Expenses breakdown'!F$46</f>
        <v>115</v>
      </c>
      <c r="D612" s="867">
        <f>'Revenue and Expenses breakdown'!G$46</f>
        <v>148</v>
      </c>
      <c r="E612" s="867">
        <f>'Revenue and Expenses breakdown'!H$46</f>
        <v>215.98833333333334</v>
      </c>
      <c r="F612" s="867">
        <f>'Revenue and Expenses breakdown'!I$46</f>
        <v>282.94759712230217</v>
      </c>
      <c r="G612" s="864"/>
      <c r="H612" s="862">
        <v>234.47768239092437</v>
      </c>
      <c r="I612" s="862">
        <v>427.3113355715447</v>
      </c>
      <c r="J612" s="862">
        <v>526.10601492238698</v>
      </c>
      <c r="K612" s="862">
        <v>631.2513108224249</v>
      </c>
      <c r="L612" s="862"/>
      <c r="M612" s="863">
        <f>C612/H612-1</f>
        <v>-0.50954820592148964</v>
      </c>
      <c r="N612" s="863">
        <f>D612/I612-1</f>
        <v>-0.65364831756207797</v>
      </c>
      <c r="O612" s="863">
        <f>E612/J612-1</f>
        <v>-0.58945853647919855</v>
      </c>
      <c r="P612" s="863">
        <f>F612/K612-1</f>
        <v>-0.55176711355471997</v>
      </c>
      <c r="Q612" s="864"/>
      <c r="R612" s="862"/>
      <c r="S612" s="862"/>
      <c r="T612" s="862"/>
      <c r="U612" s="862"/>
      <c r="V612" s="862"/>
      <c r="W612" s="863"/>
      <c r="X612" s="863"/>
      <c r="Y612" s="863"/>
      <c r="Z612" s="863"/>
    </row>
    <row r="613" spans="2:26" x14ac:dyDescent="0.55000000000000004">
      <c r="B613" s="563"/>
      <c r="C613" s="651"/>
      <c r="D613" s="651"/>
      <c r="E613" s="651"/>
      <c r="F613" s="651"/>
      <c r="G613" s="651"/>
      <c r="H613" s="630"/>
      <c r="I613" s="630"/>
      <c r="J613" s="630"/>
      <c r="K613" s="630"/>
      <c r="L613" s="630"/>
      <c r="M613" s="631"/>
      <c r="N613" s="631"/>
      <c r="O613" s="631"/>
      <c r="P613" s="631"/>
      <c r="Q613" s="651"/>
      <c r="R613" s="630"/>
      <c r="S613" s="630"/>
      <c r="T613" s="630"/>
      <c r="U613" s="630"/>
      <c r="V613" s="630"/>
      <c r="W613" s="631"/>
      <c r="X613" s="631"/>
      <c r="Y613" s="631"/>
      <c r="Z613" s="631"/>
    </row>
    <row r="614" spans="2:26" x14ac:dyDescent="0.55000000000000004">
      <c r="B614" s="858" t="s">
        <v>47</v>
      </c>
      <c r="C614" s="856">
        <f>Master!G$212</f>
        <v>15808</v>
      </c>
      <c r="D614" s="856">
        <f>Master!H$212</f>
        <v>23691</v>
      </c>
      <c r="E614" s="856">
        <f>Master!I$212</f>
        <v>30085.70785426574</v>
      </c>
      <c r="F614" s="856">
        <f>Master!J$212</f>
        <v>39152.93976490909</v>
      </c>
      <c r="G614" s="864"/>
      <c r="H614" s="856">
        <v>16336.449917662811</v>
      </c>
      <c r="I614" s="856">
        <v>21772.057311935358</v>
      </c>
      <c r="J614" s="856">
        <v>26092.64352372209</v>
      </c>
      <c r="K614" s="856">
        <v>30930.119249378458</v>
      </c>
      <c r="L614" s="856"/>
      <c r="M614" s="857">
        <f>C614/H614-1</f>
        <v>-3.2347904246408876E-2</v>
      </c>
      <c r="N614" s="857">
        <f>D614/I614-1</f>
        <v>8.8137866834140821E-2</v>
      </c>
      <c r="O614" s="857">
        <f>E614/J614-1</f>
        <v>0.15303410430274567</v>
      </c>
      <c r="P614" s="857">
        <f>F614/K614-1</f>
        <v>0.2658515620076658</v>
      </c>
      <c r="Q614" s="864"/>
      <c r="R614" s="856">
        <v>16090.09939264274</v>
      </c>
      <c r="S614" s="856">
        <v>20575.2299862377</v>
      </c>
      <c r="T614" s="856">
        <v>26073.274598623851</v>
      </c>
      <c r="U614" s="856">
        <v>32221.245337023276</v>
      </c>
      <c r="V614" s="856"/>
      <c r="W614" s="857">
        <f>C614/R614-1</f>
        <v>-1.7532482911307046E-2</v>
      </c>
      <c r="X614" s="857">
        <f>D614/S614-1</f>
        <v>0.15143305886963931</v>
      </c>
      <c r="Y614" s="857">
        <f>E614/T614-1</f>
        <v>0.15389065306947147</v>
      </c>
      <c r="Z614" s="857">
        <f>F614/U614-1</f>
        <v>0.21512807327533889</v>
      </c>
    </row>
    <row r="615" spans="2:26" x14ac:dyDescent="0.55000000000000004">
      <c r="B615" s="871"/>
      <c r="C615" s="871"/>
      <c r="D615" s="871"/>
      <c r="E615" s="871"/>
      <c r="F615" s="871"/>
      <c r="G615" s="871"/>
      <c r="H615" s="871"/>
      <c r="I615" s="871"/>
      <c r="J615" s="871"/>
      <c r="K615" s="871"/>
      <c r="L615" s="871"/>
      <c r="M615" s="831"/>
      <c r="N615" s="831"/>
      <c r="O615" s="831"/>
      <c r="P615" s="831"/>
      <c r="Q615" s="871"/>
      <c r="V615" s="871"/>
      <c r="W615" s="831"/>
      <c r="X615" s="831"/>
      <c r="Y615" s="831"/>
      <c r="Z615" s="831"/>
    </row>
    <row r="616" spans="2:26" x14ac:dyDescent="0.55000000000000004">
      <c r="B616" s="854" t="s">
        <v>778</v>
      </c>
      <c r="C616" s="868">
        <f>Valuation!G$9</f>
        <v>12.872860427950721</v>
      </c>
      <c r="D616" s="862"/>
      <c r="E616" s="862"/>
      <c r="F616" s="862"/>
      <c r="G616" s="862"/>
      <c r="H616" s="869">
        <v>7.5143405865355222</v>
      </c>
      <c r="I616" s="862"/>
      <c r="J616" s="862"/>
      <c r="K616" s="862"/>
      <c r="L616" s="862"/>
      <c r="M616" s="863">
        <f>C616/H616-1</f>
        <v>0.71310579813440933</v>
      </c>
      <c r="N616" s="863"/>
      <c r="O616" s="863"/>
      <c r="P616" s="863"/>
      <c r="Q616" s="862"/>
      <c r="R616" s="862"/>
      <c r="S616" s="862"/>
      <c r="T616" s="862"/>
      <c r="U616" s="862"/>
      <c r="V616" s="862"/>
      <c r="W616" s="863"/>
      <c r="X616" s="863"/>
      <c r="Y616" s="863"/>
      <c r="Z616" s="863"/>
    </row>
    <row r="619" spans="2:26" x14ac:dyDescent="0.55000000000000004">
      <c r="B619" s="833" t="s">
        <v>1186</v>
      </c>
    </row>
    <row r="620" spans="2:26" x14ac:dyDescent="0.55000000000000004">
      <c r="B620" s="680"/>
      <c r="C620" s="1317" t="s">
        <v>774</v>
      </c>
      <c r="D620" s="1317"/>
      <c r="E620" s="1317"/>
      <c r="F620" s="1317"/>
      <c r="G620" s="1317"/>
      <c r="H620" s="1317" t="s">
        <v>1184</v>
      </c>
      <c r="I620" s="1317"/>
      <c r="J620" s="1317"/>
      <c r="K620" s="1317"/>
      <c r="L620" s="870"/>
      <c r="M620" s="680" t="s">
        <v>775</v>
      </c>
      <c r="N620" s="680" t="s">
        <v>775</v>
      </c>
      <c r="O620" s="680" t="s">
        <v>775</v>
      </c>
      <c r="P620" s="680" t="s">
        <v>775</v>
      </c>
      <c r="R620" s="1317" t="s">
        <v>1019</v>
      </c>
      <c r="S620" s="1317"/>
      <c r="T620" s="1317"/>
      <c r="U620" s="1317"/>
      <c r="V620" s="870"/>
      <c r="W620" s="680" t="s">
        <v>775</v>
      </c>
      <c r="X620" s="680" t="s">
        <v>775</v>
      </c>
      <c r="Y620" s="680" t="s">
        <v>775</v>
      </c>
      <c r="Z620" s="680" t="s">
        <v>775</v>
      </c>
    </row>
    <row r="621" spans="2:26" x14ac:dyDescent="0.55000000000000004">
      <c r="B621" s="592" t="s">
        <v>156</v>
      </c>
      <c r="C621" s="592">
        <v>2022</v>
      </c>
      <c r="D621" s="592">
        <f>C621+1</f>
        <v>2023</v>
      </c>
      <c r="E621" s="592">
        <f>D621+1</f>
        <v>2024</v>
      </c>
      <c r="F621" s="592">
        <f>E621+1</f>
        <v>2025</v>
      </c>
      <c r="G621" s="592"/>
      <c r="H621" s="592">
        <f>C621</f>
        <v>2022</v>
      </c>
      <c r="I621" s="592">
        <f>D621</f>
        <v>2023</v>
      </c>
      <c r="J621" s="592">
        <f>E621</f>
        <v>2024</v>
      </c>
      <c r="K621" s="592">
        <f>F621</f>
        <v>2025</v>
      </c>
      <c r="L621" s="592"/>
      <c r="M621" s="592">
        <f>H621</f>
        <v>2022</v>
      </c>
      <c r="N621" s="592">
        <f>I621</f>
        <v>2023</v>
      </c>
      <c r="O621" s="592">
        <f>J621</f>
        <v>2024</v>
      </c>
      <c r="P621" s="592">
        <f>K621</f>
        <v>2025</v>
      </c>
      <c r="Q621" s="592"/>
      <c r="R621" s="592">
        <f>M621</f>
        <v>2022</v>
      </c>
      <c r="S621" s="592">
        <f>N621</f>
        <v>2023</v>
      </c>
      <c r="T621" s="592">
        <f>O621</f>
        <v>2024</v>
      </c>
      <c r="U621" s="592">
        <f>P621</f>
        <v>2025</v>
      </c>
      <c r="V621" s="592"/>
      <c r="W621" s="592">
        <f>R621</f>
        <v>2022</v>
      </c>
      <c r="X621" s="592">
        <f>S621</f>
        <v>2023</v>
      </c>
      <c r="Y621" s="592">
        <f>T621</f>
        <v>2024</v>
      </c>
      <c r="Z621" s="592">
        <f>U621</f>
        <v>2025</v>
      </c>
    </row>
    <row r="622" spans="2:26" x14ac:dyDescent="0.55000000000000004">
      <c r="B622" s="855" t="s">
        <v>356</v>
      </c>
      <c r="C622" s="856">
        <f>Master!G$4</f>
        <v>4790.1710000000003</v>
      </c>
      <c r="D622" s="856">
        <f>Master!H$4</f>
        <v>8028</v>
      </c>
      <c r="E622" s="856">
        <f>Master!I$4</f>
        <v>11957.660811218131</v>
      </c>
      <c r="F622" s="856">
        <f>Master!J$4</f>
        <v>15243.865667997801</v>
      </c>
      <c r="G622" s="856"/>
      <c r="H622" s="856">
        <v>4778.8745818130992</v>
      </c>
      <c r="I622" s="856">
        <v>7209.6738749430733</v>
      </c>
      <c r="J622" s="856">
        <v>8858.0500207860696</v>
      </c>
      <c r="K622" s="856">
        <v>10756.44875716374</v>
      </c>
      <c r="L622" s="856"/>
      <c r="M622" s="857">
        <f>C622/H622-1</f>
        <v>2.3638239492393964E-3</v>
      </c>
      <c r="N622" s="857">
        <f>D622/I622-1</f>
        <v>0.11350390312396597</v>
      </c>
      <c r="O622" s="857">
        <f>E622/J622-1</f>
        <v>0.34992021756013969</v>
      </c>
      <c r="P622" s="857">
        <f>F622/K622-1</f>
        <v>0.41718386915063066</v>
      </c>
      <c r="Q622" s="856"/>
      <c r="R622" s="856">
        <v>4772.2212532561953</v>
      </c>
      <c r="S622" s="856">
        <v>6935.3281376948962</v>
      </c>
      <c r="T622" s="856">
        <v>9211.3543661378098</v>
      </c>
      <c r="U622" s="856">
        <v>12144.012965215716</v>
      </c>
      <c r="V622" s="856"/>
      <c r="W622" s="857">
        <f>C622/R622-1</f>
        <v>3.7612981023369407E-3</v>
      </c>
      <c r="X622" s="857">
        <f>D622/S622-1</f>
        <v>0.15755157371231121</v>
      </c>
      <c r="Y622" s="857">
        <f>E622/T622-1</f>
        <v>0.29814361014880908</v>
      </c>
      <c r="Z622" s="857">
        <f>F622/U622-1</f>
        <v>0.25525769049004166</v>
      </c>
    </row>
    <row r="623" spans="2:26" x14ac:dyDescent="0.55000000000000004">
      <c r="B623" s="871"/>
      <c r="C623" s="871"/>
      <c r="D623" s="871"/>
      <c r="E623" s="871"/>
      <c r="F623" s="871"/>
      <c r="G623" s="871"/>
      <c r="H623" s="871"/>
      <c r="I623" s="871"/>
      <c r="J623" s="871"/>
      <c r="K623" s="871"/>
      <c r="L623" s="871"/>
      <c r="M623" s="831"/>
      <c r="N623" s="831"/>
      <c r="O623" s="831"/>
      <c r="P623" s="831"/>
      <c r="Q623" s="871"/>
      <c r="R623" s="871"/>
      <c r="S623" s="871"/>
      <c r="T623" s="871"/>
      <c r="U623" s="871"/>
      <c r="V623" s="871"/>
      <c r="W623" s="831"/>
      <c r="X623" s="831"/>
      <c r="Y623" s="831"/>
      <c r="Z623" s="831"/>
    </row>
    <row r="624" spans="2:26" x14ac:dyDescent="0.55000000000000004">
      <c r="B624" s="858" t="s">
        <v>1074</v>
      </c>
      <c r="C624" s="856">
        <f>Master!G$5</f>
        <v>3555.1709999999998</v>
      </c>
      <c r="D624" s="856">
        <f>Master!H$5</f>
        <v>6439</v>
      </c>
      <c r="E624" s="856">
        <f>Master!I$5</f>
        <v>10103.201107666722</v>
      </c>
      <c r="F624" s="856">
        <f>Master!J$5</f>
        <v>12802.34748502066</v>
      </c>
      <c r="G624" s="856"/>
      <c r="H624" s="856">
        <v>3549.0852332152072</v>
      </c>
      <c r="I624" s="856">
        <v>5656.6322065825498</v>
      </c>
      <c r="J624" s="856">
        <v>6833.8492535499026</v>
      </c>
      <c r="K624" s="856">
        <v>8282.6637740697697</v>
      </c>
      <c r="L624" s="856"/>
      <c r="M624" s="857">
        <f t="shared" ref="M624:P626" si="21">C624/H624-1</f>
        <v>1.7147423589147781E-3</v>
      </c>
      <c r="N624" s="857">
        <f t="shared" si="21"/>
        <v>0.13830982196562447</v>
      </c>
      <c r="O624" s="857">
        <f t="shared" si="21"/>
        <v>0.47840561487634892</v>
      </c>
      <c r="P624" s="857">
        <f t="shared" si="21"/>
        <v>0.54567996893710657</v>
      </c>
      <c r="Q624" s="856"/>
      <c r="R624" s="856">
        <v>3527.9310268281538</v>
      </c>
      <c r="S624" s="856">
        <v>5082.2932809793001</v>
      </c>
      <c r="T624" s="856">
        <v>6521.4947904133323</v>
      </c>
      <c r="U624" s="856">
        <v>8333.6049541390475</v>
      </c>
      <c r="V624" s="856"/>
      <c r="W624" s="857">
        <f t="shared" ref="W624:Z625" si="22">C624/R624-1</f>
        <v>7.7212317827926036E-3</v>
      </c>
      <c r="X624" s="857">
        <f t="shared" si="22"/>
        <v>0.26694774268502619</v>
      </c>
      <c r="Y624" s="857">
        <f t="shared" si="22"/>
        <v>0.54921554526403016</v>
      </c>
      <c r="Z624" s="857">
        <f t="shared" si="22"/>
        <v>0.53623162550585324</v>
      </c>
    </row>
    <row r="625" spans="2:26" x14ac:dyDescent="0.55000000000000004">
      <c r="B625" s="563" t="s">
        <v>88</v>
      </c>
      <c r="C625" s="630" t="e">
        <f>Master!G$6+C626</f>
        <v>#REF!</v>
      </c>
      <c r="D625" s="630" t="e">
        <f>Master!H$6+D626</f>
        <v>#REF!</v>
      </c>
      <c r="E625" s="630" t="e">
        <f>Master!I$6+E626</f>
        <v>#REF!</v>
      </c>
      <c r="F625" s="630" t="e">
        <f>Master!J$6+F626</f>
        <v>#REF!</v>
      </c>
      <c r="G625" s="630"/>
      <c r="H625" s="630">
        <v>1229.7893485978921</v>
      </c>
      <c r="I625" s="630">
        <v>1553.0416683605238</v>
      </c>
      <c r="J625" s="630">
        <v>2024.2007672361658</v>
      </c>
      <c r="K625" s="630">
        <v>2473.7849830939713</v>
      </c>
      <c r="L625" s="630"/>
      <c r="M625" s="631" t="e">
        <f t="shared" si="21"/>
        <v>#REF!</v>
      </c>
      <c r="N625" s="631" t="e">
        <f t="shared" si="21"/>
        <v>#REF!</v>
      </c>
      <c r="O625" s="631" t="e">
        <f t="shared" si="21"/>
        <v>#REF!</v>
      </c>
      <c r="P625" s="631" t="e">
        <f t="shared" si="21"/>
        <v>#REF!</v>
      </c>
      <c r="Q625" s="630"/>
      <c r="R625" s="630">
        <v>1244.2902264280419</v>
      </c>
      <c r="S625" s="630">
        <v>1853.0348567155961</v>
      </c>
      <c r="T625" s="630">
        <v>2689.8595757244775</v>
      </c>
      <c r="U625" s="630">
        <v>3810.4080110766677</v>
      </c>
      <c r="V625" s="630"/>
      <c r="W625" s="631" t="e">
        <f t="shared" si="22"/>
        <v>#REF!</v>
      </c>
      <c r="X625" s="631" t="e">
        <f t="shared" si="22"/>
        <v>#REF!</v>
      </c>
      <c r="Y625" s="631" t="e">
        <f t="shared" si="22"/>
        <v>#REF!</v>
      </c>
      <c r="Z625" s="631" t="e">
        <f t="shared" si="22"/>
        <v>#REF!</v>
      </c>
    </row>
    <row r="626" spans="2:26" x14ac:dyDescent="0.55000000000000004">
      <c r="B626" s="858" t="s">
        <v>362</v>
      </c>
      <c r="C626" s="856" t="e">
        <f>Master!#REF!</f>
        <v>#REF!</v>
      </c>
      <c r="D626" s="856" t="e">
        <f>Master!#REF!</f>
        <v>#REF!</v>
      </c>
      <c r="E626" s="856" t="e">
        <f>Master!#REF!</f>
        <v>#REF!</v>
      </c>
      <c r="F626" s="856" t="e">
        <f>Master!#REF!</f>
        <v>#REF!</v>
      </c>
      <c r="G626" s="856"/>
      <c r="H626" s="856">
        <v>227.47834858821017</v>
      </c>
      <c r="I626" s="856">
        <v>357.6111217317569</v>
      </c>
      <c r="J626" s="856">
        <v>443.62564429674171</v>
      </c>
      <c r="K626" s="856">
        <v>536.64900975340436</v>
      </c>
      <c r="L626" s="856"/>
      <c r="M626" s="857" t="e">
        <f t="shared" si="21"/>
        <v>#REF!</v>
      </c>
      <c r="N626" s="857" t="e">
        <f t="shared" si="21"/>
        <v>#REF!</v>
      </c>
      <c r="O626" s="857" t="e">
        <f t="shared" si="21"/>
        <v>#REF!</v>
      </c>
      <c r="P626" s="857" t="e">
        <f t="shared" si="21"/>
        <v>#REF!</v>
      </c>
      <c r="Q626" s="856"/>
      <c r="R626" s="856"/>
      <c r="S626" s="856"/>
      <c r="T626" s="856"/>
      <c r="U626" s="856"/>
      <c r="V626" s="856"/>
      <c r="W626" s="857"/>
      <c r="X626" s="857"/>
      <c r="Y626" s="857"/>
      <c r="Z626" s="857"/>
    </row>
    <row r="627" spans="2:26" x14ac:dyDescent="0.55000000000000004">
      <c r="B627" s="563"/>
      <c r="C627" s="630"/>
      <c r="D627" s="630"/>
      <c r="E627" s="630"/>
      <c r="F627" s="630"/>
      <c r="G627" s="630"/>
      <c r="H627" s="630"/>
      <c r="I627" s="630"/>
      <c r="J627" s="630"/>
      <c r="K627" s="630"/>
      <c r="L627" s="630"/>
      <c r="M627" s="631"/>
      <c r="N627" s="631"/>
      <c r="O627" s="631"/>
      <c r="P627" s="631"/>
      <c r="Q627" s="630"/>
      <c r="R627" s="630"/>
      <c r="S627" s="630"/>
      <c r="T627" s="630"/>
      <c r="U627" s="630"/>
      <c r="V627" s="630"/>
      <c r="W627" s="631"/>
      <c r="X627" s="631"/>
      <c r="Y627" s="631"/>
      <c r="Z627" s="631"/>
    </row>
    <row r="628" spans="2:26" x14ac:dyDescent="0.55000000000000004">
      <c r="B628" s="858" t="s">
        <v>89</v>
      </c>
      <c r="C628" s="856">
        <f>Master!G$8</f>
        <v>-1548</v>
      </c>
      <c r="D628" s="856">
        <f>Master!H$8</f>
        <v>-2036</v>
      </c>
      <c r="E628" s="856">
        <f>Master!I$8</f>
        <v>-2844.4204600881767</v>
      </c>
      <c r="F628" s="856">
        <f>Master!J$8</f>
        <v>-3461.6073036878447</v>
      </c>
      <c r="G628" s="856"/>
      <c r="H628" s="856">
        <v>-1592.3160871774749</v>
      </c>
      <c r="I628" s="856">
        <v>-1964.7321618679778</v>
      </c>
      <c r="J628" s="856">
        <v>-2065.7614362091981</v>
      </c>
      <c r="K628" s="856">
        <v>-2083.705488072877</v>
      </c>
      <c r="L628" s="856"/>
      <c r="M628" s="857">
        <f t="shared" ref="M628:P630" si="23">C628/H628-1</f>
        <v>-2.7831212366904556E-2</v>
      </c>
      <c r="N628" s="857">
        <f t="shared" si="23"/>
        <v>3.6273564160655969E-2</v>
      </c>
      <c r="O628" s="857">
        <f t="shared" si="23"/>
        <v>0.37693559877265725</v>
      </c>
      <c r="P628" s="857">
        <f t="shared" si="23"/>
        <v>0.66127474516051965</v>
      </c>
      <c r="Q628" s="856"/>
      <c r="R628" s="856">
        <v>-1601.7157778955</v>
      </c>
      <c r="S628" s="856">
        <v>-1963.9413885220699</v>
      </c>
      <c r="T628" s="856">
        <v>-1951.9302742156699</v>
      </c>
      <c r="U628" s="856">
        <v>-2202.2132020629601</v>
      </c>
      <c r="V628" s="856"/>
      <c r="W628" s="857">
        <f t="shared" ref="W628:Z630" si="24">C628/R628-1</f>
        <v>-3.3536398053141014E-2</v>
      </c>
      <c r="X628" s="857">
        <f t="shared" si="24"/>
        <v>3.669081567253718E-2</v>
      </c>
      <c r="Y628" s="857">
        <f t="shared" si="24"/>
        <v>0.45723466542939395</v>
      </c>
      <c r="Z628" s="857">
        <f t="shared" si="24"/>
        <v>0.57187655602333409</v>
      </c>
    </row>
    <row r="629" spans="2:26" x14ac:dyDescent="0.55000000000000004">
      <c r="B629" s="563" t="s">
        <v>599</v>
      </c>
      <c r="C629" s="630">
        <f>Master!G$10</f>
        <v>-174</v>
      </c>
      <c r="D629" s="630">
        <f>Master!H$10</f>
        <v>-215</v>
      </c>
      <c r="E629" s="630">
        <f>Master!I$10</f>
        <v>-268.75</v>
      </c>
      <c r="F629" s="630">
        <f>Master!J$10</f>
        <v>-349.375</v>
      </c>
      <c r="G629" s="630"/>
      <c r="H629" s="630">
        <v>-180</v>
      </c>
      <c r="I629" s="630">
        <v>-225</v>
      </c>
      <c r="J629" s="630">
        <v>-292.5</v>
      </c>
      <c r="K629" s="630">
        <v>-336.375</v>
      </c>
      <c r="L629" s="630"/>
      <c r="M629" s="631">
        <f t="shared" si="23"/>
        <v>-3.3333333333333326E-2</v>
      </c>
      <c r="N629" s="631">
        <f t="shared" si="23"/>
        <v>-4.4444444444444398E-2</v>
      </c>
      <c r="O629" s="631">
        <f t="shared" si="23"/>
        <v>-8.1196581196581241E-2</v>
      </c>
      <c r="P629" s="631">
        <f t="shared" si="23"/>
        <v>3.8647342995169032E-2</v>
      </c>
      <c r="Q629" s="630"/>
      <c r="R629" s="630">
        <v>-174.8213147481186</v>
      </c>
      <c r="S629" s="630">
        <v>-232.2156282785138</v>
      </c>
      <c r="T629" s="630">
        <v>-289.83097367701077</v>
      </c>
      <c r="U629" s="630">
        <v>-337.97586128397751</v>
      </c>
      <c r="V629" s="630"/>
      <c r="W629" s="631">
        <f t="shared" si="24"/>
        <v>-4.6980240899225922E-3</v>
      </c>
      <c r="X629" s="631">
        <f t="shared" si="24"/>
        <v>-7.4136389553703053E-2</v>
      </c>
      <c r="Y629" s="631">
        <f t="shared" si="24"/>
        <v>-7.2735406466610142E-2</v>
      </c>
      <c r="Z629" s="631">
        <f t="shared" si="24"/>
        <v>3.3727671179583529E-2</v>
      </c>
    </row>
    <row r="630" spans="2:26" x14ac:dyDescent="0.55000000000000004">
      <c r="B630" s="858" t="s">
        <v>90</v>
      </c>
      <c r="C630" s="856">
        <f>Master!G$12</f>
        <v>-1405</v>
      </c>
      <c r="D630" s="856">
        <f>Master!H$12</f>
        <v>-2285</v>
      </c>
      <c r="E630" s="856">
        <f>Master!I$12</f>
        <v>-3397.7659999999996</v>
      </c>
      <c r="F630" s="856">
        <f>Master!J$12</f>
        <v>-4216.4800000000005</v>
      </c>
      <c r="G630" s="856"/>
      <c r="H630" s="856">
        <v>-1401.28</v>
      </c>
      <c r="I630" s="856">
        <v>-2117.84</v>
      </c>
      <c r="J630" s="856">
        <v>-2692.16</v>
      </c>
      <c r="K630" s="856">
        <v>-3225.34</v>
      </c>
      <c r="L630" s="856"/>
      <c r="M630" s="857">
        <f t="shared" si="23"/>
        <v>2.6547156885132761E-3</v>
      </c>
      <c r="N630" s="857">
        <f t="shared" si="23"/>
        <v>7.8929475314471365E-2</v>
      </c>
      <c r="O630" s="857">
        <f t="shared" si="23"/>
        <v>0.2620966064424104</v>
      </c>
      <c r="P630" s="857">
        <f t="shared" si="23"/>
        <v>0.30729783526697974</v>
      </c>
      <c r="Q630" s="856"/>
      <c r="R630" s="856">
        <v>-1449.4215476416759</v>
      </c>
      <c r="S630" s="856">
        <v>-2107.2764020354962</v>
      </c>
      <c r="T630" s="856">
        <v>-2548.6992191867475</v>
      </c>
      <c r="U630" s="856">
        <v>-2869.3119133615951</v>
      </c>
      <c r="V630" s="856"/>
      <c r="W630" s="857">
        <f t="shared" si="24"/>
        <v>-3.0647776496736445E-2</v>
      </c>
      <c r="X630" s="857">
        <f t="shared" si="24"/>
        <v>8.4338057310770376E-2</v>
      </c>
      <c r="Y630" s="857">
        <f t="shared" si="24"/>
        <v>0.33313730173471656</v>
      </c>
      <c r="Z630" s="857">
        <f t="shared" si="24"/>
        <v>0.46950911135349727</v>
      </c>
    </row>
    <row r="631" spans="2:26" x14ac:dyDescent="0.55000000000000004">
      <c r="B631" s="563"/>
      <c r="C631" s="630"/>
      <c r="D631" s="630"/>
      <c r="E631" s="630"/>
      <c r="F631" s="630"/>
      <c r="G631" s="630"/>
      <c r="H631" s="630"/>
      <c r="I631" s="630"/>
      <c r="J631" s="630"/>
      <c r="K631" s="630"/>
      <c r="L631" s="630"/>
      <c r="M631" s="631"/>
      <c r="N631" s="631"/>
      <c r="O631" s="631"/>
      <c r="P631" s="631"/>
      <c r="Q631" s="630"/>
      <c r="R631" s="630"/>
      <c r="S631" s="630"/>
      <c r="T631" s="630"/>
      <c r="U631" s="630"/>
      <c r="V631" s="630"/>
      <c r="W631" s="631"/>
      <c r="X631" s="631"/>
      <c r="Y631" s="631"/>
      <c r="Z631" s="631"/>
    </row>
    <row r="632" spans="2:26" x14ac:dyDescent="0.55000000000000004">
      <c r="B632" s="858" t="s">
        <v>1075</v>
      </c>
      <c r="C632" s="856">
        <f>Master!G$13</f>
        <v>-3127</v>
      </c>
      <c r="D632" s="856">
        <f>Master!H$13</f>
        <v>-4536</v>
      </c>
      <c r="E632" s="856">
        <f>Master!I$13</f>
        <v>-6510.9364600881763</v>
      </c>
      <c r="F632" s="856">
        <f>Master!J$13</f>
        <v>-8027.4623036878456</v>
      </c>
      <c r="G632" s="856"/>
      <c r="H632" s="856">
        <v>-3173.5960871774751</v>
      </c>
      <c r="I632" s="856">
        <v>-4307.5721618679781</v>
      </c>
      <c r="J632" s="856">
        <v>-5050.421436209198</v>
      </c>
      <c r="K632" s="856">
        <v>-5645.4204880728776</v>
      </c>
      <c r="L632" s="856"/>
      <c r="M632" s="857">
        <f>C632/H632-1</f>
        <v>-1.4682425203932148E-2</v>
      </c>
      <c r="N632" s="857">
        <f>D632/I632-1</f>
        <v>5.302937003682473E-2</v>
      </c>
      <c r="O632" s="857">
        <f>E632/J632-1</f>
        <v>0.28918676239724417</v>
      </c>
      <c r="P632" s="857">
        <f>F632/K632-1</f>
        <v>0.42194231955751138</v>
      </c>
      <c r="Q632" s="856"/>
      <c r="R632" s="856">
        <v>-3225.9586402852983</v>
      </c>
      <c r="S632" s="856">
        <v>-4303.4334188360763</v>
      </c>
      <c r="T632" s="856">
        <v>-4790.4604670794306</v>
      </c>
      <c r="U632" s="856">
        <v>-5409.5009767085321</v>
      </c>
      <c r="V632" s="856"/>
      <c r="W632" s="857">
        <f>C632/R632-1</f>
        <v>-3.0675731253810068E-2</v>
      </c>
      <c r="X632" s="857">
        <f>D632/S632-1</f>
        <v>5.4042100464708698E-2</v>
      </c>
      <c r="Y632" s="857">
        <f>E632/T632-1</f>
        <v>0.35914626680087336</v>
      </c>
      <c r="Z632" s="857">
        <f>F632/U632-1</f>
        <v>0.48395616125246366</v>
      </c>
    </row>
    <row r="633" spans="2:26" x14ac:dyDescent="0.55000000000000004">
      <c r="B633" s="563"/>
      <c r="C633" s="630"/>
      <c r="D633" s="630"/>
      <c r="E633" s="630"/>
      <c r="F633" s="630"/>
      <c r="G633" s="630"/>
      <c r="H633" s="630"/>
      <c r="I633" s="630"/>
      <c r="J633" s="630"/>
      <c r="K633" s="630"/>
      <c r="L633" s="630"/>
      <c r="M633" s="631"/>
      <c r="N633" s="631"/>
      <c r="O633" s="631"/>
      <c r="P633" s="631"/>
      <c r="Q633" s="630"/>
      <c r="R633" s="630"/>
      <c r="S633" s="630"/>
      <c r="T633" s="630"/>
      <c r="U633" s="630"/>
      <c r="V633" s="630"/>
      <c r="W633" s="631"/>
      <c r="X633" s="631"/>
      <c r="Y633" s="631"/>
      <c r="Z633" s="631"/>
    </row>
    <row r="634" spans="2:26" x14ac:dyDescent="0.55000000000000004">
      <c r="B634" s="858" t="s">
        <v>408</v>
      </c>
      <c r="C634" s="856">
        <f>Master!G$15</f>
        <v>1663.1710000000003</v>
      </c>
      <c r="D634" s="856">
        <f>Master!H$15</f>
        <v>3492</v>
      </c>
      <c r="E634" s="856">
        <f>Master!I$15</f>
        <v>5446.7243511299548</v>
      </c>
      <c r="F634" s="856">
        <f>Master!J$15</f>
        <v>7216.4033643099556</v>
      </c>
      <c r="G634" s="856"/>
      <c r="H634" s="856">
        <v>1605.2784946356242</v>
      </c>
      <c r="I634" s="856">
        <v>2902.1017130750952</v>
      </c>
      <c r="J634" s="856">
        <v>3807.6285845768716</v>
      </c>
      <c r="K634" s="856">
        <v>5111.0282690908625</v>
      </c>
      <c r="L634" s="856"/>
      <c r="M634" s="857">
        <f>C634/H634-1</f>
        <v>3.6063839114419238E-2</v>
      </c>
      <c r="N634" s="857">
        <f>D634/I634-1</f>
        <v>0.20326588977470506</v>
      </c>
      <c r="O634" s="857">
        <f>E634/J634-1</f>
        <v>0.43047679944214678</v>
      </c>
      <c r="P634" s="857">
        <f>F634/K634-1</f>
        <v>0.41192789090043358</v>
      </c>
      <c r="Q634" s="856"/>
      <c r="R634" s="856"/>
      <c r="S634" s="856"/>
      <c r="T634" s="856"/>
      <c r="U634" s="856"/>
      <c r="V634" s="856"/>
      <c r="W634" s="857"/>
      <c r="X634" s="857"/>
      <c r="Y634" s="857"/>
      <c r="Z634" s="857"/>
    </row>
    <row r="635" spans="2:26" x14ac:dyDescent="0.55000000000000004">
      <c r="B635" s="563"/>
      <c r="C635" s="630"/>
      <c r="D635" s="630"/>
      <c r="E635" s="630"/>
      <c r="F635" s="630"/>
      <c r="G635" s="630"/>
      <c r="H635" s="630"/>
      <c r="I635" s="630"/>
      <c r="J635" s="630"/>
      <c r="K635" s="630"/>
      <c r="L635" s="630"/>
      <c r="M635" s="631"/>
      <c r="N635" s="631"/>
      <c r="O635" s="631"/>
      <c r="P635" s="631"/>
      <c r="Q635" s="630"/>
      <c r="R635" s="630"/>
      <c r="S635" s="630"/>
      <c r="T635" s="630"/>
      <c r="U635" s="630"/>
      <c r="V635" s="630"/>
      <c r="W635" s="631"/>
      <c r="X635" s="631"/>
      <c r="Y635" s="631"/>
      <c r="Z635" s="631"/>
    </row>
    <row r="636" spans="2:26" x14ac:dyDescent="0.55000000000000004">
      <c r="B636" s="859" t="s">
        <v>11</v>
      </c>
      <c r="C636" s="860">
        <f>C622+C632</f>
        <v>1663.1710000000003</v>
      </c>
      <c r="D636" s="860">
        <f>D622+D632</f>
        <v>3492</v>
      </c>
      <c r="E636" s="860">
        <f>E622+E632</f>
        <v>5446.7243511299548</v>
      </c>
      <c r="F636" s="860">
        <f>F622+F632</f>
        <v>7216.4033643099556</v>
      </c>
      <c r="G636" s="860"/>
      <c r="H636" s="860">
        <v>1605.2784946356242</v>
      </c>
      <c r="I636" s="860">
        <v>2902.1017130750952</v>
      </c>
      <c r="J636" s="860">
        <v>3807.6285845768716</v>
      </c>
      <c r="K636" s="860">
        <v>5111.0282690908625</v>
      </c>
      <c r="L636" s="860"/>
      <c r="M636" s="861">
        <f>C636/H636-1</f>
        <v>3.6063839114419238E-2</v>
      </c>
      <c r="N636" s="861">
        <f>D636/I636-1</f>
        <v>0.20326588977470506</v>
      </c>
      <c r="O636" s="861">
        <f>E636/J636-1</f>
        <v>0.43047679944214678</v>
      </c>
      <c r="P636" s="861">
        <f>F636/K636-1</f>
        <v>0.41192789090043358</v>
      </c>
      <c r="Q636" s="860"/>
      <c r="R636" s="860">
        <f>R622+R632</f>
        <v>1546.262612970897</v>
      </c>
      <c r="S636" s="860">
        <f>S622+S632</f>
        <v>2631.8947188588199</v>
      </c>
      <c r="T636" s="860">
        <f>T622+T632</f>
        <v>4420.8938990583792</v>
      </c>
      <c r="U636" s="860">
        <f>U622+U632</f>
        <v>6734.5119885071836</v>
      </c>
      <c r="V636" s="860"/>
      <c r="W636" s="861">
        <f>C636/R636-1</f>
        <v>7.5607070913059626E-2</v>
      </c>
      <c r="X636" s="861">
        <f>D636/S636-1</f>
        <v>0.32680079297173359</v>
      </c>
      <c r="Y636" s="861">
        <f>E636/T636-1</f>
        <v>0.23204140960950692</v>
      </c>
      <c r="Z636" s="861">
        <f>F636/U636-1</f>
        <v>7.1555500476522482E-2</v>
      </c>
    </row>
    <row r="637" spans="2:26" x14ac:dyDescent="0.55000000000000004">
      <c r="B637" s="872"/>
      <c r="C637" s="871"/>
      <c r="D637" s="871"/>
      <c r="E637" s="871"/>
      <c r="F637" s="871"/>
      <c r="G637" s="871"/>
      <c r="H637" s="871"/>
      <c r="I637" s="871"/>
      <c r="J637" s="871"/>
      <c r="K637" s="871"/>
      <c r="L637" s="871"/>
      <c r="M637" s="831"/>
      <c r="N637" s="831"/>
      <c r="O637" s="831"/>
      <c r="P637" s="831"/>
      <c r="Q637" s="871"/>
      <c r="R637" s="871"/>
      <c r="S637" s="871"/>
      <c r="T637" s="871"/>
      <c r="U637" s="871"/>
      <c r="V637" s="871"/>
      <c r="W637" s="831"/>
      <c r="X637" s="831"/>
      <c r="Y637" s="831"/>
      <c r="Z637" s="831"/>
    </row>
    <row r="638" spans="2:26" x14ac:dyDescent="0.55000000000000004">
      <c r="B638" s="877" t="s">
        <v>97</v>
      </c>
      <c r="C638" s="878">
        <f>Master!G$40</f>
        <v>-1971</v>
      </c>
      <c r="D638" s="878">
        <f>Master!H$40</f>
        <v>-1951</v>
      </c>
      <c r="E638" s="878">
        <f>Master!I$40</f>
        <v>-2593.4254625444614</v>
      </c>
      <c r="F638" s="878">
        <f>Master!J$40</f>
        <v>-3008.4291239157888</v>
      </c>
      <c r="G638" s="878"/>
      <c r="H638" s="878">
        <v>-1657.734930562033</v>
      </c>
      <c r="I638" s="878">
        <v>-2418.8455850434011</v>
      </c>
      <c r="J638" s="878">
        <v>-2839.0050316619354</v>
      </c>
      <c r="K638" s="878">
        <v>-3232.312851527704</v>
      </c>
      <c r="L638" s="878"/>
      <c r="M638" s="857">
        <f>C638/H638-1</f>
        <v>0.18897174913950732</v>
      </c>
      <c r="N638" s="857">
        <f>D638/I638-1</f>
        <v>-0.19341688776508092</v>
      </c>
      <c r="O638" s="857">
        <f>E638/J638-1</f>
        <v>-8.6501984455347514E-2</v>
      </c>
      <c r="P638" s="857">
        <f>F638/K638-1</f>
        <v>-6.9264250676137396E-2</v>
      </c>
      <c r="Q638" s="878"/>
      <c r="R638" s="878">
        <v>-1695.9374627266197</v>
      </c>
      <c r="S638" s="878">
        <v>-2444.3755384835026</v>
      </c>
      <c r="T638" s="878">
        <v>-3175.0177522376439</v>
      </c>
      <c r="U638" s="878">
        <v>-4170.1362128686933</v>
      </c>
      <c r="V638" s="878"/>
      <c r="W638" s="857">
        <f>C638/R638-1</f>
        <v>0.16218908026900491</v>
      </c>
      <c r="X638" s="857">
        <f>D638/S638-1</f>
        <v>-0.20184113722132657</v>
      </c>
      <c r="Y638" s="857">
        <f>E638/T638-1</f>
        <v>-0.18317764972598849</v>
      </c>
      <c r="Z638" s="857">
        <f>F638/U638-1</f>
        <v>-0.27857773215368198</v>
      </c>
    </row>
    <row r="639" spans="2:26" x14ac:dyDescent="0.55000000000000004">
      <c r="B639" s="872"/>
      <c r="C639" s="871"/>
      <c r="D639" s="871"/>
      <c r="E639" s="871"/>
      <c r="F639" s="871"/>
      <c r="G639" s="871"/>
      <c r="H639" s="871"/>
      <c r="I639" s="871"/>
      <c r="J639" s="871"/>
      <c r="K639" s="871"/>
      <c r="L639" s="871"/>
      <c r="M639" s="831"/>
      <c r="N639" s="831"/>
      <c r="O639" s="831"/>
      <c r="P639" s="831"/>
      <c r="Q639" s="871"/>
      <c r="R639" s="871"/>
      <c r="S639" s="871"/>
      <c r="T639" s="871"/>
      <c r="U639" s="871"/>
      <c r="V639" s="871"/>
      <c r="W639" s="831"/>
      <c r="X639" s="831"/>
      <c r="Y639" s="831"/>
      <c r="Z639" s="831"/>
    </row>
    <row r="640" spans="2:26" x14ac:dyDescent="0.55000000000000004">
      <c r="B640" s="858" t="s">
        <v>776</v>
      </c>
      <c r="C640" s="856">
        <f>Master!G$47</f>
        <v>-307.82899999999972</v>
      </c>
      <c r="D640" s="856">
        <f>Master!H$47</f>
        <v>1541</v>
      </c>
      <c r="E640" s="856">
        <f>Master!I$47</f>
        <v>2853.2988885854934</v>
      </c>
      <c r="F640" s="856">
        <f>Master!J$47</f>
        <v>4207.9742403941673</v>
      </c>
      <c r="G640" s="856"/>
      <c r="H640" s="856">
        <v>-52.456435926408858</v>
      </c>
      <c r="I640" s="856">
        <v>483.25612803169406</v>
      </c>
      <c r="J640" s="856">
        <v>968.62355291493623</v>
      </c>
      <c r="K640" s="856">
        <v>1878.7154175631586</v>
      </c>
      <c r="L640" s="856"/>
      <c r="M640" s="857">
        <f>C640/H640-1</f>
        <v>4.8682789740395833</v>
      </c>
      <c r="N640" s="857">
        <f>D640/I640-1</f>
        <v>2.1887852230172538</v>
      </c>
      <c r="O640" s="857">
        <f>E640/J640-1</f>
        <v>1.9457252820240556</v>
      </c>
      <c r="P640" s="857">
        <f>F640/K640-1</f>
        <v>1.2398146100553324</v>
      </c>
      <c r="Q640" s="856"/>
      <c r="R640" s="856">
        <v>-139.12992860471525</v>
      </c>
      <c r="S640" s="856">
        <v>281.78051508071525</v>
      </c>
      <c r="T640" s="856">
        <v>1120.0108712496331</v>
      </c>
      <c r="U640" s="856">
        <v>2305.2347321453499</v>
      </c>
      <c r="V640" s="856"/>
      <c r="W640" s="857">
        <f>C640/R640-1</f>
        <v>1.2125289870203173</v>
      </c>
      <c r="X640" s="857">
        <f>D640/S640-1</f>
        <v>4.4687954543577462</v>
      </c>
      <c r="Y640" s="857">
        <f>E640/T640-1</f>
        <v>1.5475635655232289</v>
      </c>
      <c r="Z640" s="857">
        <f>F640/U640-1</f>
        <v>0.82539946223959881</v>
      </c>
    </row>
    <row r="641" spans="2:26" x14ac:dyDescent="0.55000000000000004">
      <c r="B641" s="871"/>
      <c r="C641" s="871"/>
      <c r="D641" s="871"/>
      <c r="E641" s="871"/>
      <c r="F641" s="871"/>
      <c r="G641" s="871"/>
      <c r="H641" s="871"/>
      <c r="I641" s="871"/>
      <c r="J641" s="871"/>
      <c r="K641" s="871"/>
      <c r="L641" s="871"/>
      <c r="M641" s="831"/>
      <c r="N641" s="831"/>
      <c r="O641" s="831"/>
      <c r="P641" s="831"/>
      <c r="Q641" s="871"/>
      <c r="R641" s="871"/>
      <c r="S641" s="871"/>
      <c r="T641" s="871"/>
      <c r="U641" s="871"/>
      <c r="V641" s="871"/>
      <c r="W641" s="831"/>
      <c r="X641" s="831"/>
      <c r="Y641" s="831"/>
      <c r="Z641" s="831"/>
    </row>
    <row r="642" spans="2:26" x14ac:dyDescent="0.55000000000000004">
      <c r="B642" s="862" t="s">
        <v>14</v>
      </c>
      <c r="C642" s="862">
        <f>Master!G$62</f>
        <v>-363.82899999999972</v>
      </c>
      <c r="D642" s="862">
        <f>Master!H$62</f>
        <v>1033</v>
      </c>
      <c r="E642" s="862">
        <f>Master!I$62</f>
        <v>1941.3195554341974</v>
      </c>
      <c r="F642" s="862">
        <f>Master!J$62</f>
        <v>2819.342741064092</v>
      </c>
      <c r="G642" s="862"/>
      <c r="H642" s="862">
        <v>-52.456435926408858</v>
      </c>
      <c r="I642" s="862">
        <v>367.2746573040875</v>
      </c>
      <c r="J642" s="862">
        <v>726.46766468620217</v>
      </c>
      <c r="K642" s="862">
        <v>1409.0365631723689</v>
      </c>
      <c r="L642" s="862"/>
      <c r="M642" s="863">
        <f>C642/H642-1</f>
        <v>5.9358314871108568</v>
      </c>
      <c r="N642" s="863">
        <f>D642/I642-1</f>
        <v>1.8126089820151154</v>
      </c>
      <c r="O642" s="863">
        <f>E642/J642-1</f>
        <v>1.672272490301066</v>
      </c>
      <c r="P642" s="863">
        <f>F642/K642-1</f>
        <v>1.0009010516494303</v>
      </c>
      <c r="Q642" s="862"/>
      <c r="R642" s="862">
        <v>-102.6287875991295</v>
      </c>
      <c r="S642" s="862">
        <v>177.59898485703724</v>
      </c>
      <c r="T642" s="862">
        <v>718.4239750777657</v>
      </c>
      <c r="U642" s="862">
        <v>1515.3421148625555</v>
      </c>
      <c r="V642" s="862"/>
      <c r="W642" s="863">
        <f>C642/R642-1</f>
        <v>2.5450969314879224</v>
      </c>
      <c r="X642" s="863">
        <f>D642/S642-1</f>
        <v>4.8164746878003797</v>
      </c>
      <c r="Y642" s="863">
        <f>E642/T642-1</f>
        <v>1.7021920520178346</v>
      </c>
      <c r="Z642" s="863">
        <f>F642/U642-1</f>
        <v>0.86053216195328397</v>
      </c>
    </row>
    <row r="643" spans="2:26" x14ac:dyDescent="0.55000000000000004">
      <c r="B643" s="871"/>
      <c r="C643" s="871"/>
      <c r="D643" s="871"/>
      <c r="E643" s="871"/>
      <c r="F643" s="871"/>
      <c r="G643" s="871"/>
      <c r="H643" s="871"/>
      <c r="I643" s="871"/>
      <c r="J643" s="871"/>
      <c r="K643" s="871"/>
      <c r="L643" s="871"/>
      <c r="M643" s="831"/>
      <c r="N643" s="831"/>
      <c r="O643" s="831"/>
      <c r="P643" s="831"/>
      <c r="Q643" s="871"/>
      <c r="R643" s="871"/>
      <c r="S643" s="871"/>
      <c r="T643" s="871"/>
      <c r="U643" s="871"/>
      <c r="V643" s="871"/>
      <c r="W643" s="831"/>
      <c r="X643" s="831"/>
      <c r="Y643" s="831"/>
      <c r="Z643" s="831"/>
    </row>
    <row r="644" spans="2:26" x14ac:dyDescent="0.55000000000000004">
      <c r="B644" s="858" t="s">
        <v>777</v>
      </c>
      <c r="C644" s="856">
        <f>C646+C648</f>
        <v>9906</v>
      </c>
      <c r="D644" s="856">
        <f>D646+D648</f>
        <v>15616</v>
      </c>
      <c r="E644" s="856">
        <f>E646+E648</f>
        <v>18931.525772778845</v>
      </c>
      <c r="F644" s="856">
        <f>F646+F648</f>
        <v>24610.966651964809</v>
      </c>
      <c r="G644" s="856"/>
      <c r="H644" s="856">
        <v>9240.5332120741987</v>
      </c>
      <c r="I644" s="856">
        <v>15215.738202871458</v>
      </c>
      <c r="J644" s="856">
        <v>19430.143320842089</v>
      </c>
      <c r="K644" s="856">
        <v>23026.269732947199</v>
      </c>
      <c r="L644" s="856"/>
      <c r="M644" s="857">
        <f>C644/H644-1</f>
        <v>7.2016059317471459E-2</v>
      </c>
      <c r="N644" s="857">
        <f>D644/I644-1</f>
        <v>2.6305775756118477E-2</v>
      </c>
      <c r="O644" s="857">
        <f>E644/J644-1</f>
        <v>-2.5662062282803322E-2</v>
      </c>
      <c r="P644" s="857">
        <f>F644/K644-1</f>
        <v>6.882126099435637E-2</v>
      </c>
      <c r="Q644" s="856"/>
      <c r="R644" s="856">
        <f>R646+R648</f>
        <v>10438.386047049447</v>
      </c>
      <c r="S644" s="856">
        <f>S646+S648</f>
        <v>15566.226703383643</v>
      </c>
      <c r="T644" s="856">
        <f>T646+T648</f>
        <v>19787.477355243114</v>
      </c>
      <c r="U644" s="856">
        <f>U646+U648</f>
        <v>23462.284452038155</v>
      </c>
      <c r="V644" s="856"/>
      <c r="W644" s="857">
        <f>C644/R644-1</f>
        <v>-5.1002716765771838E-2</v>
      </c>
      <c r="X644" s="857">
        <f>D644/S644-1</f>
        <v>3.1975184201535889E-3</v>
      </c>
      <c r="Y644" s="857">
        <f>E644/T644-1</f>
        <v>-4.325723623569766E-2</v>
      </c>
      <c r="Z644" s="857">
        <f>F644/U644-1</f>
        <v>4.8958668209602596E-2</v>
      </c>
    </row>
    <row r="645" spans="2:26" x14ac:dyDescent="0.55000000000000004">
      <c r="B645" s="563"/>
      <c r="C645" s="651"/>
      <c r="D645" s="651"/>
      <c r="E645" s="651"/>
      <c r="F645" s="651"/>
      <c r="G645" s="651"/>
      <c r="H645" s="630"/>
      <c r="I645" s="630"/>
      <c r="J645" s="630"/>
      <c r="K645" s="630"/>
      <c r="L645" s="630"/>
      <c r="M645" s="631"/>
      <c r="N645" s="631"/>
      <c r="O645" s="631"/>
      <c r="P645" s="631"/>
      <c r="Q645" s="651"/>
      <c r="R645" s="630"/>
      <c r="S645" s="630"/>
      <c r="T645" s="630"/>
      <c r="U645" s="630"/>
      <c r="V645" s="630"/>
      <c r="W645" s="631"/>
      <c r="X645" s="631"/>
      <c r="Y645" s="631"/>
      <c r="Z645" s="631"/>
    </row>
    <row r="646" spans="2:26" x14ac:dyDescent="0.55000000000000004">
      <c r="B646" s="858" t="s">
        <v>106</v>
      </c>
      <c r="C646" s="856">
        <f>Master!G$193</f>
        <v>8233</v>
      </c>
      <c r="D646" s="856">
        <f>Master!H$193</f>
        <v>12414</v>
      </c>
      <c r="E646" s="856">
        <f>Master!I$193</f>
        <v>13815.930217466615</v>
      </c>
      <c r="F646" s="856">
        <f>Master!J$193</f>
        <v>17490.813710703274</v>
      </c>
      <c r="G646" s="856"/>
      <c r="H646" s="856">
        <v>7544.6443070401183</v>
      </c>
      <c r="I646" s="856">
        <v>12248.775254987921</v>
      </c>
      <c r="J646" s="856">
        <v>15117.69455111471</v>
      </c>
      <c r="K646" s="856">
        <v>16763.536813780127</v>
      </c>
      <c r="L646" s="856"/>
      <c r="M646" s="857">
        <f>C646/H646-1</f>
        <v>9.1237660113089536E-2</v>
      </c>
      <c r="N646" s="857">
        <f>D646/I646-1</f>
        <v>1.3489082914212025E-2</v>
      </c>
      <c r="O646" s="857">
        <f>E646/J646-1</f>
        <v>-8.6108654282349373E-2</v>
      </c>
      <c r="P646" s="857">
        <f>F646/K646-1</f>
        <v>4.3384454307118681E-2</v>
      </c>
      <c r="Q646" s="856"/>
      <c r="R646" s="856">
        <v>8632.4909764426829</v>
      </c>
      <c r="S646" s="856">
        <v>12582.479197013976</v>
      </c>
      <c r="T646" s="856">
        <v>15520.601759852734</v>
      </c>
      <c r="U646" s="856">
        <v>16940.955523928635</v>
      </c>
      <c r="V646" s="856"/>
      <c r="W646" s="857">
        <f>C646/R646-1</f>
        <v>-4.627760139371806E-2</v>
      </c>
      <c r="X646" s="857">
        <f>D646/S646-1</f>
        <v>-1.3389984149861256E-2</v>
      </c>
      <c r="Y646" s="857">
        <f>E646/T646-1</f>
        <v>-0.10983282534802263</v>
      </c>
      <c r="Z646" s="857">
        <f>F646/U646-1</f>
        <v>3.245733016641128E-2</v>
      </c>
    </row>
    <row r="647" spans="2:26" x14ac:dyDescent="0.55000000000000004">
      <c r="B647" s="563"/>
      <c r="C647" s="651"/>
      <c r="D647" s="651"/>
      <c r="E647" s="651"/>
      <c r="F647" s="651"/>
      <c r="G647" s="651"/>
      <c r="H647" s="630"/>
      <c r="I647" s="630"/>
      <c r="J647" s="630"/>
      <c r="K647" s="630"/>
      <c r="L647" s="630"/>
      <c r="M647" s="631"/>
      <c r="N647" s="631"/>
      <c r="O647" s="631"/>
      <c r="P647" s="631"/>
      <c r="Q647" s="651"/>
      <c r="R647" s="630"/>
      <c r="S647" s="630"/>
      <c r="T647" s="630"/>
      <c r="U647" s="630"/>
      <c r="V647" s="630"/>
      <c r="W647" s="631"/>
      <c r="X647" s="631"/>
      <c r="Y647" s="631"/>
      <c r="Z647" s="631"/>
    </row>
    <row r="648" spans="2:26" x14ac:dyDescent="0.55000000000000004">
      <c r="B648" s="858" t="s">
        <v>107</v>
      </c>
      <c r="C648" s="856">
        <f>Master!G$194</f>
        <v>1673</v>
      </c>
      <c r="D648" s="856">
        <f>Master!H$194</f>
        <v>3202</v>
      </c>
      <c r="E648" s="856">
        <f>Master!I$194</f>
        <v>5115.5955553122285</v>
      </c>
      <c r="F648" s="856">
        <f>Master!J$194</f>
        <v>7120.1529412615355</v>
      </c>
      <c r="G648" s="856"/>
      <c r="H648" s="856">
        <v>1695.8889050340813</v>
      </c>
      <c r="I648" s="856">
        <v>2966.9629478835382</v>
      </c>
      <c r="J648" s="856">
        <v>4312.4487697273807</v>
      </c>
      <c r="K648" s="856">
        <v>6262.7329191670706</v>
      </c>
      <c r="L648" s="856"/>
      <c r="M648" s="857">
        <f>C648/H648-1</f>
        <v>-1.3496700736786327E-2</v>
      </c>
      <c r="N648" s="857">
        <f>D648/I648-1</f>
        <v>7.9218061109972426E-2</v>
      </c>
      <c r="O648" s="857">
        <f>E648/J648-1</f>
        <v>0.18623914821268017</v>
      </c>
      <c r="P648" s="857">
        <f>F648/K648-1</f>
        <v>0.13690828479533823</v>
      </c>
      <c r="Q648" s="856"/>
      <c r="R648" s="856">
        <v>1805.8950706067651</v>
      </c>
      <c r="S648" s="856">
        <v>2983.7475063696675</v>
      </c>
      <c r="T648" s="856">
        <v>4266.8755953903801</v>
      </c>
      <c r="U648" s="856">
        <v>6521.3289281095203</v>
      </c>
      <c r="V648" s="856"/>
      <c r="W648" s="857">
        <f>C648/R648-1</f>
        <v>-7.3589586000760043E-2</v>
      </c>
      <c r="X648" s="857">
        <f>D648/S648-1</f>
        <v>7.314710549884329E-2</v>
      </c>
      <c r="Y648" s="857">
        <f>E648/T648-1</f>
        <v>0.19890900049646243</v>
      </c>
      <c r="Z648" s="857">
        <f>F648/U648-1</f>
        <v>9.1825457625798634E-2</v>
      </c>
    </row>
    <row r="649" spans="2:26" x14ac:dyDescent="0.55000000000000004">
      <c r="B649" s="871"/>
      <c r="C649" s="871"/>
      <c r="D649" s="871"/>
      <c r="E649" s="871"/>
      <c r="F649" s="871"/>
      <c r="G649" s="871"/>
      <c r="H649" s="871"/>
      <c r="I649" s="871"/>
      <c r="J649" s="871"/>
      <c r="K649" s="871"/>
      <c r="L649" s="871"/>
      <c r="M649" s="831"/>
      <c r="N649" s="831"/>
      <c r="O649" s="831"/>
      <c r="P649" s="831"/>
      <c r="Q649" s="871"/>
      <c r="R649" s="871"/>
      <c r="S649" s="871"/>
      <c r="T649" s="871"/>
      <c r="U649" s="871"/>
      <c r="V649" s="871"/>
      <c r="W649" s="831"/>
      <c r="X649" s="831"/>
      <c r="Y649" s="831"/>
      <c r="Z649" s="831"/>
    </row>
    <row r="650" spans="2:26" x14ac:dyDescent="0.55000000000000004">
      <c r="B650" s="866" t="s">
        <v>779</v>
      </c>
      <c r="C650" s="867">
        <f>'Revenue and Expenses breakdown'!F$46</f>
        <v>115</v>
      </c>
      <c r="D650" s="867">
        <f>'Revenue and Expenses breakdown'!G$46</f>
        <v>148</v>
      </c>
      <c r="E650" s="867">
        <f>'Revenue and Expenses breakdown'!H$46</f>
        <v>215.98833333333334</v>
      </c>
      <c r="F650" s="867">
        <f>'Revenue and Expenses breakdown'!I$46</f>
        <v>282.94759712230217</v>
      </c>
      <c r="G650" s="864"/>
      <c r="H650" s="862">
        <v>227.47834858821017</v>
      </c>
      <c r="I650" s="862">
        <v>357.6111217317569</v>
      </c>
      <c r="J650" s="862">
        <v>443.62564429674171</v>
      </c>
      <c r="K650" s="862">
        <v>536.64900975340436</v>
      </c>
      <c r="L650" s="862"/>
      <c r="M650" s="863">
        <f>C650/H650-1</f>
        <v>-0.49445738148830454</v>
      </c>
      <c r="N650" s="863">
        <f>D650/I650-1</f>
        <v>-0.58614262530958317</v>
      </c>
      <c r="O650" s="863">
        <f>E650/J650-1</f>
        <v>-0.51312928792534251</v>
      </c>
      <c r="P650" s="863">
        <f>F650/K650-1</f>
        <v>-0.4727511055087581</v>
      </c>
      <c r="Q650" s="864"/>
      <c r="R650" s="862"/>
      <c r="S650" s="862"/>
      <c r="T650" s="862"/>
      <c r="U650" s="862"/>
      <c r="V650" s="862"/>
      <c r="W650" s="863"/>
      <c r="X650" s="863"/>
      <c r="Y650" s="863"/>
      <c r="Z650" s="863"/>
    </row>
    <row r="651" spans="2:26" x14ac:dyDescent="0.55000000000000004">
      <c r="B651" s="563"/>
      <c r="C651" s="651"/>
      <c r="D651" s="651"/>
      <c r="E651" s="651"/>
      <c r="F651" s="651"/>
      <c r="G651" s="651"/>
      <c r="H651" s="630"/>
      <c r="I651" s="630"/>
      <c r="J651" s="630"/>
      <c r="K651" s="630"/>
      <c r="L651" s="630"/>
      <c r="M651" s="631"/>
      <c r="N651" s="631"/>
      <c r="O651" s="631"/>
      <c r="P651" s="631"/>
      <c r="Q651" s="651"/>
      <c r="R651" s="630"/>
      <c r="S651" s="630"/>
      <c r="T651" s="630"/>
      <c r="U651" s="630"/>
      <c r="V651" s="630"/>
      <c r="W651" s="631"/>
      <c r="X651" s="631"/>
      <c r="Y651" s="631"/>
      <c r="Z651" s="631"/>
    </row>
    <row r="652" spans="2:26" x14ac:dyDescent="0.55000000000000004">
      <c r="B652" s="858" t="s">
        <v>47</v>
      </c>
      <c r="C652" s="856">
        <f>Master!G$212</f>
        <v>15808</v>
      </c>
      <c r="D652" s="856">
        <f>Master!H$212</f>
        <v>23691</v>
      </c>
      <c r="E652" s="856">
        <f>Master!I$212</f>
        <v>30085.70785426574</v>
      </c>
      <c r="F652" s="856">
        <f>Master!J$212</f>
        <v>39152.93976490909</v>
      </c>
      <c r="G652" s="864"/>
      <c r="H652" s="856">
        <v>15094.090186895271</v>
      </c>
      <c r="I652" s="856">
        <v>19981.282035196087</v>
      </c>
      <c r="J652" s="856">
        <v>26123.449478295552</v>
      </c>
      <c r="K652" s="856">
        <v>30966.636509413143</v>
      </c>
      <c r="L652" s="856"/>
      <c r="M652" s="857">
        <f>C652/H652-1</f>
        <v>4.7297306711771681E-2</v>
      </c>
      <c r="N652" s="857">
        <f>D652/I652-1</f>
        <v>0.18565965678625718</v>
      </c>
      <c r="O652" s="857">
        <f>E652/J652-1</f>
        <v>0.1516743942740868</v>
      </c>
      <c r="P652" s="857">
        <f>F652/K652-1</f>
        <v>0.26435881252416604</v>
      </c>
      <c r="Q652" s="864"/>
      <c r="R652" s="856">
        <v>16090.09939264274</v>
      </c>
      <c r="S652" s="856">
        <v>20575.2299862377</v>
      </c>
      <c r="T652" s="856">
        <v>26073.274598623851</v>
      </c>
      <c r="U652" s="856">
        <v>32221.245337023276</v>
      </c>
      <c r="V652" s="856"/>
      <c r="W652" s="857">
        <f>C652/R652-1</f>
        <v>-1.7532482911307046E-2</v>
      </c>
      <c r="X652" s="857">
        <f>D652/S652-1</f>
        <v>0.15143305886963931</v>
      </c>
      <c r="Y652" s="857">
        <f>E652/T652-1</f>
        <v>0.15389065306947147</v>
      </c>
      <c r="Z652" s="857">
        <f>F652/U652-1</f>
        <v>0.21512807327533889</v>
      </c>
    </row>
    <row r="653" spans="2:26" x14ac:dyDescent="0.55000000000000004">
      <c r="B653" s="871"/>
      <c r="C653" s="871"/>
      <c r="D653" s="871"/>
      <c r="E653" s="871"/>
      <c r="F653" s="871"/>
      <c r="G653" s="871"/>
      <c r="H653" s="871"/>
      <c r="I653" s="871"/>
      <c r="J653" s="871"/>
      <c r="K653" s="871"/>
      <c r="L653" s="871"/>
      <c r="M653" s="831"/>
      <c r="N653" s="831"/>
      <c r="O653" s="831"/>
      <c r="P653" s="831"/>
      <c r="Q653" s="871"/>
      <c r="V653" s="871"/>
      <c r="W653" s="831"/>
      <c r="X653" s="831"/>
      <c r="Y653" s="831"/>
      <c r="Z653" s="831"/>
    </row>
    <row r="654" spans="2:26" x14ac:dyDescent="0.55000000000000004">
      <c r="B654" s="854" t="s">
        <v>778</v>
      </c>
      <c r="C654" s="868">
        <f>Valuation!G$9</f>
        <v>12.872860427950721</v>
      </c>
      <c r="D654" s="862"/>
      <c r="E654" s="862"/>
      <c r="F654" s="862"/>
      <c r="G654" s="862"/>
      <c r="H654" s="869">
        <v>7.0653707819730105</v>
      </c>
      <c r="I654" s="862"/>
      <c r="J654" s="862"/>
      <c r="K654" s="862"/>
      <c r="L654" s="862"/>
      <c r="M654" s="863">
        <f>C654/H654-1</f>
        <v>0.82196530446714422</v>
      </c>
      <c r="N654" s="863"/>
      <c r="O654" s="863"/>
      <c r="P654" s="863"/>
      <c r="Q654" s="862"/>
      <c r="R654" s="862"/>
      <c r="S654" s="862"/>
      <c r="T654" s="862"/>
      <c r="U654" s="862"/>
      <c r="V654" s="862"/>
      <c r="W654" s="863"/>
      <c r="X654" s="863"/>
      <c r="Y654" s="863"/>
      <c r="Z654" s="863"/>
    </row>
    <row r="659" spans="2:17" x14ac:dyDescent="0.55000000000000004">
      <c r="B659" s="552" t="s">
        <v>355</v>
      </c>
    </row>
    <row r="662" spans="2:17" x14ac:dyDescent="0.55000000000000004">
      <c r="B662" s="613" t="s">
        <v>969</v>
      </c>
      <c r="C662" s="1318" t="s">
        <v>970</v>
      </c>
      <c r="D662" s="1318"/>
      <c r="E662" s="1318"/>
      <c r="F662" s="1318"/>
      <c r="G662" s="1318"/>
      <c r="H662" s="1318" t="s">
        <v>971</v>
      </c>
      <c r="I662" s="1318"/>
      <c r="J662" s="1318"/>
      <c r="K662" s="1318"/>
      <c r="L662" s="1318"/>
      <c r="M662" s="1318" t="s">
        <v>973</v>
      </c>
      <c r="N662" s="1318"/>
      <c r="O662" s="1318"/>
      <c r="P662" s="1318"/>
      <c r="Q662" s="1318"/>
    </row>
    <row r="663" spans="2:17" x14ac:dyDescent="0.55000000000000004">
      <c r="C663" s="613">
        <v>2022</v>
      </c>
      <c r="D663" s="613">
        <v>2023</v>
      </c>
      <c r="E663" s="613">
        <v>2024</v>
      </c>
      <c r="F663" s="613">
        <v>2025</v>
      </c>
      <c r="G663" s="606">
        <v>2026</v>
      </c>
      <c r="H663" s="613">
        <v>2022</v>
      </c>
      <c r="I663" s="613">
        <v>2023</v>
      </c>
      <c r="J663" s="613">
        <v>2024</v>
      </c>
      <c r="K663" s="613">
        <v>2025</v>
      </c>
      <c r="L663" s="606">
        <v>2026</v>
      </c>
      <c r="M663" s="613">
        <v>2022</v>
      </c>
      <c r="N663" s="613">
        <v>2023</v>
      </c>
      <c r="O663" s="613">
        <v>2024</v>
      </c>
      <c r="P663" s="613">
        <v>2025</v>
      </c>
      <c r="Q663" s="606">
        <v>2026</v>
      </c>
    </row>
    <row r="664" spans="2:17" x14ac:dyDescent="0.55000000000000004">
      <c r="B664" s="552" t="s">
        <v>89</v>
      </c>
      <c r="C664" s="568">
        <v>-1479.745933812969</v>
      </c>
      <c r="D664" s="568">
        <v>-1832.29587191204</v>
      </c>
      <c r="E664" s="568">
        <v>-1704.1848935602727</v>
      </c>
      <c r="F664" s="568">
        <v>-1750.237139266635</v>
      </c>
      <c r="G664" s="568">
        <v>-2001.4317222280051</v>
      </c>
      <c r="H664" s="568">
        <v>-1479.745933812969</v>
      </c>
      <c r="I664" s="567">
        <v>-1480.0080799300317</v>
      </c>
      <c r="J664" s="567">
        <v>-1317.5932335048572</v>
      </c>
      <c r="K664" s="567">
        <v>-1288.1979566190248</v>
      </c>
      <c r="L664" s="567">
        <v>-1390.6318868602473</v>
      </c>
      <c r="M664" s="703">
        <f>H664/C664-1</f>
        <v>0</v>
      </c>
      <c r="N664" s="703">
        <f>I664/D664-1</f>
        <v>-0.19226577835073566</v>
      </c>
      <c r="O664" s="703">
        <f>J664/E664-1</f>
        <v>-0.22684842561171481</v>
      </c>
      <c r="P664" s="703">
        <f>K664/F664-1</f>
        <v>-0.26398661774552945</v>
      </c>
      <c r="Q664" s="703">
        <f>L664/G664-1</f>
        <v>-0.30518145015100095</v>
      </c>
    </row>
    <row r="665" spans="2:17" x14ac:dyDescent="0.55000000000000004">
      <c r="M665" s="703"/>
      <c r="N665" s="703"/>
      <c r="O665" s="703"/>
      <c r="P665" s="703"/>
      <c r="Q665" s="703"/>
    </row>
    <row r="666" spans="2:17" x14ac:dyDescent="0.55000000000000004">
      <c r="B666" s="552" t="s">
        <v>11</v>
      </c>
      <c r="C666" s="567">
        <v>1771.8848390276289</v>
      </c>
      <c r="D666" s="567">
        <v>3258.290268126897</v>
      </c>
      <c r="E666" s="567">
        <v>4675.4282723842998</v>
      </c>
      <c r="F666" s="567">
        <v>6187.4445749890929</v>
      </c>
      <c r="G666" s="567">
        <v>7705.7618961232974</v>
      </c>
      <c r="H666" s="567">
        <v>1771.8848390276289</v>
      </c>
      <c r="I666" s="567">
        <v>3610.578060108905</v>
      </c>
      <c r="J666" s="567">
        <v>5062.0199324397154</v>
      </c>
      <c r="K666" s="567">
        <v>6649.4837576367036</v>
      </c>
      <c r="L666" s="567">
        <v>8316.561731491056</v>
      </c>
      <c r="M666" s="703">
        <f>H666/C666-1</f>
        <v>0</v>
      </c>
      <c r="N666" s="703">
        <f>I666/D666-1</f>
        <v>0.10812044446381641</v>
      </c>
      <c r="O666" s="703">
        <f>J666/E666-1</f>
        <v>8.2685828448880949E-2</v>
      </c>
      <c r="P666" s="703">
        <f>K666/F666-1</f>
        <v>7.4673668110946334E-2</v>
      </c>
      <c r="Q666" s="703">
        <f>L666/G666-1</f>
        <v>7.9265339832917281E-2</v>
      </c>
    </row>
    <row r="667" spans="2:17" x14ac:dyDescent="0.55000000000000004">
      <c r="G667" s="552"/>
      <c r="H667" s="552"/>
      <c r="M667" s="703"/>
      <c r="N667" s="703"/>
      <c r="O667" s="703"/>
      <c r="P667" s="703"/>
      <c r="Q667" s="703"/>
    </row>
    <row r="668" spans="2:17" x14ac:dyDescent="0.55000000000000004">
      <c r="B668" s="552" t="s">
        <v>703</v>
      </c>
      <c r="C668" s="567">
        <v>1765.7111610868226</v>
      </c>
      <c r="D668" s="567">
        <v>3377.0616234629379</v>
      </c>
      <c r="E668" s="567">
        <v>5154.8034695958841</v>
      </c>
      <c r="F668" s="567">
        <v>7099.7041966483193</v>
      </c>
      <c r="G668" s="567">
        <v>8931.5756476233837</v>
      </c>
      <c r="H668" s="567">
        <v>1765.7111610868226</v>
      </c>
      <c r="I668" s="567">
        <v>3729.3494154449459</v>
      </c>
      <c r="J668" s="567">
        <v>5541.3951296512996</v>
      </c>
      <c r="K668" s="567">
        <v>7561.74337929593</v>
      </c>
      <c r="L668" s="567">
        <v>9542.3754829911413</v>
      </c>
      <c r="M668" s="703">
        <f>H668/C668-1</f>
        <v>0</v>
      </c>
      <c r="N668" s="703">
        <f>I668/D668-1</f>
        <v>0.10431784529319943</v>
      </c>
      <c r="O668" s="703">
        <f>J668/E668-1</f>
        <v>7.4996391683138652E-2</v>
      </c>
      <c r="P668" s="703">
        <f>K668/F668-1</f>
        <v>6.5078652553684391E-2</v>
      </c>
      <c r="Q668" s="703">
        <f>L668/G668-1</f>
        <v>6.8386571358244774E-2</v>
      </c>
    </row>
    <row r="669" spans="2:17" x14ac:dyDescent="0.55000000000000004">
      <c r="G669" s="552"/>
      <c r="H669" s="552"/>
      <c r="M669" s="703"/>
      <c r="N669" s="703"/>
      <c r="O669" s="703"/>
      <c r="P669" s="703"/>
      <c r="Q669" s="703"/>
    </row>
    <row r="670" spans="2:17" x14ac:dyDescent="0.55000000000000004">
      <c r="B670" s="552" t="s">
        <v>14</v>
      </c>
      <c r="C670" s="567">
        <v>-136.86792915473359</v>
      </c>
      <c r="D670" s="567">
        <v>431.31689610592827</v>
      </c>
      <c r="E670" s="567">
        <v>1323.9351846659029</v>
      </c>
      <c r="F670" s="567">
        <v>1920.1963461867813</v>
      </c>
      <c r="G670" s="567">
        <v>2512.2738113157543</v>
      </c>
      <c r="H670" s="567">
        <v>-136.86792915473359</v>
      </c>
      <c r="I670" s="567">
        <v>783.60468808793621</v>
      </c>
      <c r="J670" s="567">
        <v>1594.5493467046936</v>
      </c>
      <c r="K670" s="567">
        <v>2225.1422067342041</v>
      </c>
      <c r="L670" s="567">
        <v>2915.4017026584752</v>
      </c>
      <c r="M670" s="703">
        <f>H670/C670-1</f>
        <v>0</v>
      </c>
      <c r="N670" s="703">
        <f>I670/D670-1</f>
        <v>0.81677252888207907</v>
      </c>
      <c r="O670" s="703">
        <f>J670/E670-1</f>
        <v>0.20440136735778403</v>
      </c>
      <c r="P670" s="703">
        <f>K670/F670-1</f>
        <v>0.1588097285743717</v>
      </c>
      <c r="Q670" s="703">
        <f>L670/G670-1</f>
        <v>0.16046335774665832</v>
      </c>
    </row>
    <row r="671" spans="2:17" x14ac:dyDescent="0.55000000000000004">
      <c r="H671" s="552"/>
      <c r="M671" s="703"/>
      <c r="N671" s="703"/>
      <c r="O671" s="703"/>
      <c r="P671" s="703"/>
      <c r="Q671" s="703"/>
    </row>
    <row r="672" spans="2:17" x14ac:dyDescent="0.55000000000000004">
      <c r="B672" s="552" t="s">
        <v>6</v>
      </c>
      <c r="C672" s="704">
        <v>8.8903738498997864</v>
      </c>
      <c r="D672" s="613"/>
      <c r="E672" s="613"/>
      <c r="F672" s="613"/>
      <c r="G672" s="606"/>
      <c r="H672" s="704">
        <v>11.050412728876854</v>
      </c>
      <c r="I672" s="606"/>
      <c r="J672" s="606"/>
      <c r="K672" s="606"/>
      <c r="L672" s="606"/>
      <c r="M672" s="705">
        <f>H672/C672-1</f>
        <v>0.24296378481332548</v>
      </c>
      <c r="N672" s="705"/>
      <c r="O672" s="725"/>
      <c r="P672" s="705"/>
      <c r="Q672" s="705"/>
    </row>
    <row r="675" spans="2:17" x14ac:dyDescent="0.55000000000000004">
      <c r="B675" s="613" t="s">
        <v>969</v>
      </c>
      <c r="C675" s="1318" t="s">
        <v>970</v>
      </c>
      <c r="D675" s="1318"/>
      <c r="E675" s="1318"/>
      <c r="F675" s="1318"/>
      <c r="G675" s="1318"/>
      <c r="H675" s="1318" t="s">
        <v>972</v>
      </c>
      <c r="I675" s="1318"/>
      <c r="J675" s="1318"/>
      <c r="K675" s="1318"/>
      <c r="L675" s="1318"/>
      <c r="M675" s="1318" t="s">
        <v>973</v>
      </c>
      <c r="N675" s="1318"/>
      <c r="O675" s="1318"/>
      <c r="P675" s="1318"/>
      <c r="Q675" s="1318"/>
    </row>
    <row r="676" spans="2:17" x14ac:dyDescent="0.55000000000000004">
      <c r="C676" s="613">
        <v>2022</v>
      </c>
      <c r="D676" s="613">
        <v>2023</v>
      </c>
      <c r="E676" s="613">
        <v>2024</v>
      </c>
      <c r="F676" s="613">
        <v>2025</v>
      </c>
      <c r="G676" s="606">
        <v>2026</v>
      </c>
      <c r="H676" s="613">
        <v>2022</v>
      </c>
      <c r="I676" s="613">
        <v>2023</v>
      </c>
      <c r="J676" s="613">
        <v>2024</v>
      </c>
      <c r="K676" s="613">
        <v>2025</v>
      </c>
      <c r="L676" s="606">
        <v>2026</v>
      </c>
      <c r="M676" s="613">
        <v>2022</v>
      </c>
      <c r="N676" s="613">
        <v>2023</v>
      </c>
      <c r="O676" s="613">
        <v>2024</v>
      </c>
      <c r="P676" s="613">
        <v>2025</v>
      </c>
      <c r="Q676" s="606">
        <v>2026</v>
      </c>
    </row>
    <row r="677" spans="2:17" x14ac:dyDescent="0.55000000000000004">
      <c r="B677" s="552" t="s">
        <v>89</v>
      </c>
      <c r="C677" s="568">
        <v>-1479.745933812969</v>
      </c>
      <c r="D677" s="568">
        <v>-1832.29587191204</v>
      </c>
      <c r="E677" s="568">
        <v>-1704.1848935602727</v>
      </c>
      <c r="F677" s="568">
        <v>-1750.237139266635</v>
      </c>
      <c r="G677" s="568">
        <v>-2001.4317222280051</v>
      </c>
      <c r="H677" s="568">
        <v>-1479.745933812969</v>
      </c>
      <c r="I677" s="567">
        <v>-1088.5771999500228</v>
      </c>
      <c r="J677" s="567">
        <v>-949.41070011874751</v>
      </c>
      <c r="K677" s="567">
        <v>-903.16530441268321</v>
      </c>
      <c r="L677" s="567">
        <v>-938.18756436561227</v>
      </c>
      <c r="M677" s="703">
        <f>H677/C677-1</f>
        <v>0</v>
      </c>
      <c r="N677" s="703">
        <f>I677/D677-1</f>
        <v>-0.40589442096266415</v>
      </c>
      <c r="O677" s="703">
        <f>J677/E677-1</f>
        <v>-0.44289454524191907</v>
      </c>
      <c r="P677" s="703">
        <f>K677/F677-1</f>
        <v>-0.48397546586680384</v>
      </c>
      <c r="Q677" s="703">
        <f>L677/G677-1</f>
        <v>-0.53124178359618657</v>
      </c>
    </row>
    <row r="678" spans="2:17" x14ac:dyDescent="0.55000000000000004">
      <c r="M678" s="703"/>
      <c r="N678" s="703"/>
      <c r="O678" s="703"/>
      <c r="P678" s="703"/>
      <c r="Q678" s="703"/>
    </row>
    <row r="679" spans="2:17" x14ac:dyDescent="0.55000000000000004">
      <c r="B679" s="552" t="s">
        <v>11</v>
      </c>
      <c r="C679" s="567">
        <v>1771.8848390276289</v>
      </c>
      <c r="D679" s="567">
        <v>3258.290268126897</v>
      </c>
      <c r="E679" s="567">
        <v>4675.4282723842998</v>
      </c>
      <c r="F679" s="567">
        <v>6187.4445749890929</v>
      </c>
      <c r="G679" s="567">
        <v>7705.7618961232974</v>
      </c>
      <c r="H679" s="567">
        <v>1771.8848390276289</v>
      </c>
      <c r="I679" s="567">
        <v>4002.0089400889137</v>
      </c>
      <c r="J679" s="567">
        <v>5430.2024658258251</v>
      </c>
      <c r="K679" s="567">
        <v>7034.516409843045</v>
      </c>
      <c r="L679" s="567">
        <v>8769.0060539856895</v>
      </c>
      <c r="M679" s="703">
        <f>H679/C679-1</f>
        <v>0</v>
      </c>
      <c r="N679" s="703">
        <f>I679/D679-1</f>
        <v>0.22825427164583489</v>
      </c>
      <c r="O679" s="703">
        <f>J679/E679-1</f>
        <v>0.16143423649543398</v>
      </c>
      <c r="P679" s="703">
        <f>K679/F679-1</f>
        <v>0.13690172487006813</v>
      </c>
      <c r="Q679" s="703">
        <f>L679/G679-1</f>
        <v>0.13798040637581876</v>
      </c>
    </row>
    <row r="680" spans="2:17" x14ac:dyDescent="0.55000000000000004">
      <c r="G680" s="552"/>
      <c r="H680" s="552"/>
      <c r="M680" s="703"/>
      <c r="N680" s="703"/>
      <c r="O680" s="703"/>
      <c r="P680" s="703"/>
      <c r="Q680" s="703"/>
    </row>
    <row r="681" spans="2:17" x14ac:dyDescent="0.55000000000000004">
      <c r="B681" s="552" t="s">
        <v>703</v>
      </c>
      <c r="C681" s="567">
        <v>1765.7111610868226</v>
      </c>
      <c r="D681" s="567">
        <v>3377.0616234629379</v>
      </c>
      <c r="E681" s="567">
        <v>5154.8034695958841</v>
      </c>
      <c r="F681" s="567">
        <v>7099.7041966483193</v>
      </c>
      <c r="G681" s="567">
        <v>8931.5756476233837</v>
      </c>
      <c r="H681" s="567">
        <v>1765.7111610868226</v>
      </c>
      <c r="I681" s="567">
        <v>4120.7802954249546</v>
      </c>
      <c r="J681" s="567">
        <v>5909.5776630374094</v>
      </c>
      <c r="K681" s="567">
        <v>7946.7760315022715</v>
      </c>
      <c r="L681" s="567">
        <v>9994.8198054857749</v>
      </c>
      <c r="M681" s="703">
        <f>H681/C681-1</f>
        <v>0</v>
      </c>
      <c r="N681" s="703">
        <f>I681/D681-1</f>
        <v>0.22022656228564341</v>
      </c>
      <c r="O681" s="703">
        <f>J681/E681-1</f>
        <v>0.14642152661946128</v>
      </c>
      <c r="P681" s="703">
        <f>K681/F681-1</f>
        <v>0.11931086301508786</v>
      </c>
      <c r="Q681" s="703">
        <f>L681/G681-1</f>
        <v>0.11904329088287025</v>
      </c>
    </row>
    <row r="682" spans="2:17" x14ac:dyDescent="0.55000000000000004">
      <c r="G682" s="552"/>
      <c r="H682" s="552"/>
      <c r="M682" s="703"/>
      <c r="N682" s="703"/>
      <c r="O682" s="703"/>
      <c r="P682" s="703"/>
      <c r="Q682" s="703"/>
    </row>
    <row r="683" spans="2:17" x14ac:dyDescent="0.55000000000000004">
      <c r="B683" s="552" t="s">
        <v>14</v>
      </c>
      <c r="C683" s="567">
        <v>-136.86792915473359</v>
      </c>
      <c r="D683" s="567">
        <v>431.31689610592827</v>
      </c>
      <c r="E683" s="567">
        <v>1323.9351846659029</v>
      </c>
      <c r="F683" s="567">
        <v>1920.1963461867813</v>
      </c>
      <c r="G683" s="567">
        <v>2512.2738113157543</v>
      </c>
      <c r="H683" s="567">
        <v>-136.86792915473359</v>
      </c>
      <c r="I683" s="567">
        <v>1175.035568067945</v>
      </c>
      <c r="J683" s="567">
        <v>1852.2771200749705</v>
      </c>
      <c r="K683" s="567">
        <v>2479.2637571903897</v>
      </c>
      <c r="L683" s="567">
        <v>3214.0149555049329</v>
      </c>
      <c r="M683" s="703">
        <f>H683/C683-1</f>
        <v>0</v>
      </c>
      <c r="N683" s="703">
        <f>I683/D683-1</f>
        <v>1.7242975609732776</v>
      </c>
      <c r="O683" s="703">
        <f>J683/E683-1</f>
        <v>0.39906933626995911</v>
      </c>
      <c r="P683" s="703">
        <f>K683/F683-1</f>
        <v>0.29115116905301464</v>
      </c>
      <c r="Q683" s="703">
        <f>L683/G683-1</f>
        <v>0.2793251042256637</v>
      </c>
    </row>
    <row r="684" spans="2:17" x14ac:dyDescent="0.55000000000000004">
      <c r="H684" s="552"/>
      <c r="M684" s="703"/>
      <c r="N684" s="703"/>
      <c r="O684" s="703"/>
      <c r="P684" s="703"/>
      <c r="Q684" s="703"/>
    </row>
    <row r="685" spans="2:17" x14ac:dyDescent="0.55000000000000004">
      <c r="B685" s="552" t="s">
        <v>6</v>
      </c>
      <c r="C685" s="704">
        <v>8.8903738498997864</v>
      </c>
      <c r="D685" s="613"/>
      <c r="E685" s="613"/>
      <c r="F685" s="613"/>
      <c r="G685" s="606"/>
      <c r="H685" s="704">
        <v>12.143246488075429</v>
      </c>
      <c r="I685" s="606"/>
      <c r="J685" s="606"/>
      <c r="K685" s="606"/>
      <c r="L685" s="606"/>
      <c r="M685" s="705">
        <f>H685/C685-1</f>
        <v>0.36588704739478528</v>
      </c>
      <c r="N685" s="705"/>
      <c r="O685" s="705"/>
      <c r="P685" s="705"/>
      <c r="Q685" s="705"/>
    </row>
    <row r="687" spans="2:17" x14ac:dyDescent="0.55000000000000004">
      <c r="B687" s="613" t="s">
        <v>969</v>
      </c>
      <c r="C687" s="1318" t="s">
        <v>970</v>
      </c>
      <c r="D687" s="1318"/>
      <c r="E687" s="1318"/>
      <c r="F687" s="1318"/>
      <c r="G687" s="1318"/>
      <c r="H687" s="1318" t="s">
        <v>975</v>
      </c>
      <c r="I687" s="1318"/>
      <c r="J687" s="1318"/>
      <c r="K687" s="1318"/>
      <c r="L687" s="1318"/>
      <c r="M687" s="1318" t="s">
        <v>973</v>
      </c>
      <c r="N687" s="1318"/>
      <c r="O687" s="1318"/>
      <c r="P687" s="1318"/>
      <c r="Q687" s="1318"/>
    </row>
    <row r="688" spans="2:17" x14ac:dyDescent="0.55000000000000004">
      <c r="C688" s="613">
        <v>2022</v>
      </c>
      <c r="D688" s="613">
        <v>2023</v>
      </c>
      <c r="E688" s="613">
        <v>2024</v>
      </c>
      <c r="F688" s="613">
        <v>2025</v>
      </c>
      <c r="G688" s="606">
        <v>2026</v>
      </c>
      <c r="H688" s="613">
        <v>2022</v>
      </c>
      <c r="I688" s="613">
        <v>2023</v>
      </c>
      <c r="J688" s="613">
        <v>2024</v>
      </c>
      <c r="K688" s="613">
        <v>2025</v>
      </c>
      <c r="L688" s="606">
        <v>2026</v>
      </c>
      <c r="M688" s="613">
        <v>2022</v>
      </c>
      <c r="N688" s="613">
        <v>2023</v>
      </c>
      <c r="O688" s="613">
        <v>2024</v>
      </c>
      <c r="P688" s="613">
        <v>2025</v>
      </c>
      <c r="Q688" s="606">
        <v>2026</v>
      </c>
    </row>
    <row r="689" spans="2:51" x14ac:dyDescent="0.55000000000000004">
      <c r="B689" s="552" t="s">
        <v>89</v>
      </c>
      <c r="C689" s="568">
        <v>-1479.745933812969</v>
      </c>
      <c r="D689" s="568">
        <v>-1832.29587191204</v>
      </c>
      <c r="E689" s="568">
        <v>-1704.1848935602727</v>
      </c>
      <c r="F689" s="568">
        <v>-1750.237139266635</v>
      </c>
      <c r="G689" s="568">
        <v>-2001.4317222280051</v>
      </c>
      <c r="H689" s="568">
        <v>-1517.9760374959315</v>
      </c>
      <c r="I689" s="567">
        <v>-1906.2707922278737</v>
      </c>
      <c r="J689" s="567">
        <v>-1435.1212445834533</v>
      </c>
      <c r="K689" s="567">
        <v>-1311.0396100917519</v>
      </c>
      <c r="L689" s="567">
        <v>-1415.2359345256332</v>
      </c>
      <c r="M689" s="703">
        <f>H689/C689-1</f>
        <v>2.5835586237734853E-2</v>
      </c>
      <c r="N689" s="703">
        <f>I689/D689-1</f>
        <v>4.0372803022603154E-2</v>
      </c>
      <c r="O689" s="703">
        <f>J689/E689-1</f>
        <v>-0.15788407114365921</v>
      </c>
      <c r="P689" s="703">
        <f>K689/F689-1</f>
        <v>-0.25093601279590649</v>
      </c>
      <c r="Q689" s="703">
        <f>L689/G689-1</f>
        <v>-0.29288822655904323</v>
      </c>
    </row>
    <row r="690" spans="2:51" x14ac:dyDescent="0.55000000000000004">
      <c r="M690" s="703"/>
      <c r="N690" s="703"/>
      <c r="O690" s="703"/>
      <c r="P690" s="703"/>
      <c r="Q690" s="703"/>
    </row>
    <row r="691" spans="2:51" x14ac:dyDescent="0.55000000000000004">
      <c r="B691" s="552" t="s">
        <v>11</v>
      </c>
      <c r="C691" s="567">
        <v>1771.8848390276289</v>
      </c>
      <c r="D691" s="567">
        <v>3258.290268126897</v>
      </c>
      <c r="E691" s="567">
        <v>4675.4282723842998</v>
      </c>
      <c r="F691" s="567">
        <v>6187.4445749890929</v>
      </c>
      <c r="G691" s="567">
        <v>7705.7618961232974</v>
      </c>
      <c r="H691" s="567">
        <v>1735.9096962665471</v>
      </c>
      <c r="I691" s="567">
        <v>3233.8499773401609</v>
      </c>
      <c r="J691" s="567">
        <v>4658.5738652495438</v>
      </c>
      <c r="K691" s="567">
        <v>6212.7981289079089</v>
      </c>
      <c r="L691" s="567">
        <v>7751.6073831449112</v>
      </c>
      <c r="M691" s="703">
        <f>H691/C691-1</f>
        <v>-2.0303318798542302E-2</v>
      </c>
      <c r="N691" s="703">
        <f>I691/D691-1</f>
        <v>-7.5009556471425931E-3</v>
      </c>
      <c r="O691" s="703">
        <f>J691/E691-1</f>
        <v>-3.6048905368322171E-3</v>
      </c>
      <c r="P691" s="703">
        <f>K691/F691-1</f>
        <v>4.0975807720848856E-3</v>
      </c>
      <c r="Q691" s="703">
        <f>L691/G691-1</f>
        <v>5.9495073478299521E-3</v>
      </c>
    </row>
    <row r="692" spans="2:51" x14ac:dyDescent="0.55000000000000004">
      <c r="G692" s="552"/>
      <c r="H692" s="552"/>
      <c r="M692" s="703"/>
      <c r="N692" s="703"/>
      <c r="O692" s="703"/>
      <c r="P692" s="703"/>
      <c r="Q692" s="703"/>
    </row>
    <row r="693" spans="2:51" x14ac:dyDescent="0.55000000000000004">
      <c r="B693" s="552" t="s">
        <v>703</v>
      </c>
      <c r="C693" s="567">
        <v>1765.7111610868226</v>
      </c>
      <c r="D693" s="567">
        <v>3377.0616234629379</v>
      </c>
      <c r="E693" s="567">
        <v>5154.8034695958841</v>
      </c>
      <c r="F693" s="567">
        <v>7099.7041966483193</v>
      </c>
      <c r="G693" s="567">
        <v>8931.5756476233837</v>
      </c>
      <c r="H693" s="567">
        <v>1769.7392102651484</v>
      </c>
      <c r="I693" s="567">
        <v>3328.5803004740278</v>
      </c>
      <c r="J693" s="567">
        <v>5031.4628420927347</v>
      </c>
      <c r="K693" s="567">
        <v>6988.8550049921032</v>
      </c>
      <c r="L693" s="567">
        <v>8819.2289337281054</v>
      </c>
      <c r="M693" s="703">
        <f>H693/C693-1</f>
        <v>2.2812616622112092E-3</v>
      </c>
      <c r="N693" s="703">
        <f>I693/D693-1</f>
        <v>-1.4356067017573637E-2</v>
      </c>
      <c r="O693" s="703">
        <f>J693/E693-1</f>
        <v>-2.3927319097738264E-2</v>
      </c>
      <c r="P693" s="703">
        <f>K693/F693-1</f>
        <v>-1.5613212689698619E-2</v>
      </c>
      <c r="Q693" s="703">
        <f>L693/G693-1</f>
        <v>-1.2578599602990903E-2</v>
      </c>
    </row>
    <row r="694" spans="2:51" x14ac:dyDescent="0.55000000000000004">
      <c r="G694" s="552"/>
      <c r="H694" s="552"/>
      <c r="M694" s="703"/>
      <c r="N694" s="703"/>
      <c r="O694" s="703"/>
      <c r="P694" s="703"/>
      <c r="Q694" s="703"/>
    </row>
    <row r="695" spans="2:51" x14ac:dyDescent="0.55000000000000004">
      <c r="B695" s="552" t="s">
        <v>14</v>
      </c>
      <c r="C695" s="567">
        <v>-136.86792915473359</v>
      </c>
      <c r="D695" s="567">
        <v>431.31689610592827</v>
      </c>
      <c r="E695" s="567">
        <v>1323.9351846659029</v>
      </c>
      <c r="F695" s="567">
        <v>1920.1963461867813</v>
      </c>
      <c r="G695" s="567">
        <v>2512.2738113157543</v>
      </c>
      <c r="H695" s="567">
        <v>-186.99955312434696</v>
      </c>
      <c r="I695" s="567">
        <v>398.33625021467253</v>
      </c>
      <c r="J695" s="567">
        <v>1392.7761784882068</v>
      </c>
      <c r="K695" s="567">
        <v>2036.6971659975443</v>
      </c>
      <c r="L695" s="567">
        <v>2667.1937275851351</v>
      </c>
      <c r="M695" s="703">
        <f>H695/C695-1</f>
        <v>0.36627736153542556</v>
      </c>
      <c r="N695" s="703">
        <f>I695/D695-1</f>
        <v>-7.6464998679662055E-2</v>
      </c>
      <c r="O695" s="703">
        <f>J695/E695-1</f>
        <v>5.1997253807916755E-2</v>
      </c>
      <c r="P695" s="703">
        <f>K695/F695-1</f>
        <v>6.0671305849589796E-2</v>
      </c>
      <c r="Q695" s="703">
        <f>L695/G695-1</f>
        <v>6.1665219599707832E-2</v>
      </c>
    </row>
    <row r="696" spans="2:51" x14ac:dyDescent="0.55000000000000004">
      <c r="H696" s="552"/>
      <c r="M696" s="703"/>
      <c r="N696" s="703"/>
      <c r="O696" s="703"/>
      <c r="P696" s="703"/>
      <c r="Q696" s="703"/>
    </row>
    <row r="697" spans="2:51" x14ac:dyDescent="0.55000000000000004">
      <c r="B697" s="552" t="s">
        <v>6</v>
      </c>
      <c r="C697" s="704">
        <v>8.8903738498997864</v>
      </c>
      <c r="D697" s="613"/>
      <c r="E697" s="613"/>
      <c r="F697" s="613"/>
      <c r="G697" s="606"/>
      <c r="H697" s="704">
        <f>Valuation!G$9</f>
        <v>12.872860427950721</v>
      </c>
      <c r="I697" s="606"/>
      <c r="J697" s="606"/>
      <c r="K697" s="606"/>
      <c r="L697" s="606"/>
      <c r="M697" s="705">
        <f>H697/C697-1</f>
        <v>0.44795490552917827</v>
      </c>
      <c r="N697" s="705"/>
      <c r="O697" s="705"/>
      <c r="P697" s="705"/>
      <c r="Q697" s="705"/>
    </row>
    <row r="699" spans="2:51" x14ac:dyDescent="0.55000000000000004">
      <c r="B699" s="706" t="s">
        <v>1001</v>
      </c>
      <c r="C699" s="1319" t="s">
        <v>774</v>
      </c>
      <c r="D699" s="1319"/>
      <c r="E699" s="1319"/>
      <c r="F699" s="1319"/>
      <c r="G699" s="706"/>
      <c r="H699" s="1319" t="s">
        <v>1004</v>
      </c>
      <c r="I699" s="1319"/>
      <c r="J699" s="1319"/>
      <c r="K699" s="1319"/>
    </row>
    <row r="700" spans="2:51" x14ac:dyDescent="0.55000000000000004">
      <c r="B700" s="707"/>
      <c r="C700" s="708">
        <v>2023</v>
      </c>
      <c r="D700" s="708">
        <v>2024</v>
      </c>
      <c r="E700" s="709">
        <v>2025</v>
      </c>
      <c r="F700" s="709">
        <v>2026</v>
      </c>
      <c r="G700" s="709"/>
      <c r="H700" s="708">
        <v>2023</v>
      </c>
      <c r="I700" s="708">
        <v>2024</v>
      </c>
      <c r="J700" s="708">
        <v>2025</v>
      </c>
      <c r="K700" s="708">
        <v>2026</v>
      </c>
      <c r="T700" s="567"/>
      <c r="AY700" s="554"/>
    </row>
    <row r="701" spans="2:51" x14ac:dyDescent="0.55000000000000004">
      <c r="B701" s="710" t="s">
        <v>1000</v>
      </c>
      <c r="C701" s="711">
        <v>0.7</v>
      </c>
      <c r="D701" s="711">
        <f>C701-5%</f>
        <v>0.64999999999999991</v>
      </c>
      <c r="E701" s="711">
        <f>D701-5%</f>
        <v>0.59999999999999987</v>
      </c>
      <c r="F701" s="711">
        <f>E701-5%</f>
        <v>0.54999999999999982</v>
      </c>
      <c r="G701" s="712"/>
      <c r="H701" s="711"/>
      <c r="I701" s="711"/>
      <c r="J701" s="711"/>
      <c r="K701" s="711"/>
      <c r="T701" s="567"/>
      <c r="AY701" s="554"/>
    </row>
    <row r="702" spans="2:51" x14ac:dyDescent="0.55000000000000004">
      <c r="B702" s="713"/>
      <c r="C702" s="714"/>
      <c r="D702" s="714"/>
      <c r="E702" s="714"/>
      <c r="F702" s="714"/>
      <c r="G702" s="714"/>
      <c r="H702" s="715"/>
      <c r="I702" s="715"/>
      <c r="J702" s="715"/>
      <c r="K702" s="715"/>
      <c r="T702" s="567"/>
      <c r="AY702" s="554"/>
    </row>
    <row r="703" spans="2:51" x14ac:dyDescent="0.55000000000000004">
      <c r="B703" s="710" t="s">
        <v>703</v>
      </c>
      <c r="C703" s="716">
        <f>I668</f>
        <v>3729.3494154449459</v>
      </c>
      <c r="D703" s="716">
        <f>J668</f>
        <v>5541.3951296512996</v>
      </c>
      <c r="E703" s="716">
        <f>K668</f>
        <v>7561.74337929593</v>
      </c>
      <c r="F703" s="716">
        <f>L668</f>
        <v>9542.3754829911413</v>
      </c>
      <c r="G703" s="712"/>
      <c r="H703" s="711">
        <f>N668</f>
        <v>0.10431784529319943</v>
      </c>
      <c r="I703" s="711">
        <f>O668</f>
        <v>7.4996391683138652E-2</v>
      </c>
      <c r="J703" s="711">
        <f>P668</f>
        <v>6.5078652553684391E-2</v>
      </c>
      <c r="K703" s="711">
        <f>Q668</f>
        <v>6.8386571358244774E-2</v>
      </c>
      <c r="T703" s="567"/>
      <c r="AY703" s="554"/>
    </row>
    <row r="704" spans="2:51" x14ac:dyDescent="0.55000000000000004">
      <c r="B704" s="713"/>
      <c r="C704" s="717"/>
      <c r="D704" s="717"/>
      <c r="E704" s="717"/>
      <c r="F704" s="717"/>
      <c r="G704" s="714"/>
      <c r="H704" s="715"/>
      <c r="I704" s="715"/>
      <c r="J704" s="715"/>
      <c r="K704" s="715"/>
      <c r="T704" s="567"/>
      <c r="AY704" s="554"/>
    </row>
    <row r="705" spans="2:51" x14ac:dyDescent="0.55000000000000004">
      <c r="B705" s="718" t="s">
        <v>14</v>
      </c>
      <c r="C705" s="719">
        <f>I670</f>
        <v>783.60468808793621</v>
      </c>
      <c r="D705" s="719">
        <f>J670</f>
        <v>1594.5493467046936</v>
      </c>
      <c r="E705" s="719">
        <f>K670</f>
        <v>2225.1422067342041</v>
      </c>
      <c r="F705" s="719">
        <f>L670</f>
        <v>2915.4017026584752</v>
      </c>
      <c r="G705" s="720"/>
      <c r="H705" s="721">
        <f>N670</f>
        <v>0.81677252888207907</v>
      </c>
      <c r="I705" s="721">
        <f>O670</f>
        <v>0.20440136735778403</v>
      </c>
      <c r="J705" s="721">
        <f>P670</f>
        <v>0.1588097285743717</v>
      </c>
      <c r="K705" s="721">
        <f>Q670</f>
        <v>0.16046335774665832</v>
      </c>
      <c r="T705" s="567"/>
      <c r="AY705" s="554"/>
    </row>
    <row r="706" spans="2:51" x14ac:dyDescent="0.55000000000000004">
      <c r="B706" s="722" t="s">
        <v>1002</v>
      </c>
      <c r="C706" s="722"/>
      <c r="D706" s="722"/>
      <c r="E706" s="722"/>
      <c r="F706" s="722"/>
      <c r="G706" s="722"/>
      <c r="H706" s="722"/>
      <c r="I706" s="722"/>
      <c r="J706" s="722"/>
      <c r="K706" s="722"/>
      <c r="T706" s="567"/>
      <c r="AY706" s="554"/>
    </row>
    <row r="707" spans="2:51" x14ac:dyDescent="0.55000000000000004">
      <c r="B707" s="707"/>
      <c r="C707" s="708">
        <v>2023</v>
      </c>
      <c r="D707" s="708">
        <v>2024</v>
      </c>
      <c r="E707" s="708">
        <v>2025</v>
      </c>
      <c r="F707" s="709">
        <v>2026</v>
      </c>
      <c r="G707" s="708"/>
      <c r="H707" s="708">
        <v>2023</v>
      </c>
      <c r="I707" s="708">
        <v>2024</v>
      </c>
      <c r="J707" s="708">
        <v>2025</v>
      </c>
      <c r="K707" s="708">
        <v>2026</v>
      </c>
      <c r="T707" s="567"/>
      <c r="AY707" s="554"/>
    </row>
    <row r="708" spans="2:51" x14ac:dyDescent="0.55000000000000004">
      <c r="B708" s="710" t="s">
        <v>1000</v>
      </c>
      <c r="C708" s="711">
        <v>0.5</v>
      </c>
      <c r="D708" s="711">
        <f>C708-5%</f>
        <v>0.45</v>
      </c>
      <c r="E708" s="711">
        <f>D708-5%</f>
        <v>0.4</v>
      </c>
      <c r="F708" s="711">
        <f>E708-5%</f>
        <v>0.35000000000000003</v>
      </c>
      <c r="G708" s="712"/>
      <c r="H708" s="711"/>
      <c r="I708" s="711"/>
      <c r="J708" s="711"/>
      <c r="K708" s="711"/>
      <c r="T708" s="567"/>
      <c r="AY708" s="554"/>
    </row>
    <row r="709" spans="2:51" x14ac:dyDescent="0.55000000000000004">
      <c r="B709" s="713"/>
      <c r="C709" s="714"/>
      <c r="D709" s="714"/>
      <c r="E709" s="714"/>
      <c r="F709" s="714"/>
      <c r="G709" s="714"/>
      <c r="H709" s="715"/>
      <c r="I709" s="715"/>
      <c r="J709" s="715"/>
      <c r="K709" s="715"/>
      <c r="T709" s="567"/>
      <c r="AY709" s="554"/>
    </row>
    <row r="710" spans="2:51" x14ac:dyDescent="0.55000000000000004">
      <c r="B710" s="710" t="s">
        <v>703</v>
      </c>
      <c r="C710" s="716">
        <f>I681</f>
        <v>4120.7802954249546</v>
      </c>
      <c r="D710" s="716">
        <f>J681</f>
        <v>5909.5776630374094</v>
      </c>
      <c r="E710" s="716">
        <f>K681</f>
        <v>7946.7760315022715</v>
      </c>
      <c r="F710" s="716">
        <f>L681</f>
        <v>9994.8198054857749</v>
      </c>
      <c r="G710" s="712"/>
      <c r="H710" s="711">
        <f>N681</f>
        <v>0.22022656228564341</v>
      </c>
      <c r="I710" s="711">
        <f>O681</f>
        <v>0.14642152661946128</v>
      </c>
      <c r="J710" s="711">
        <f>P681</f>
        <v>0.11931086301508786</v>
      </c>
      <c r="K710" s="711">
        <f>Q681</f>
        <v>0.11904329088287025</v>
      </c>
      <c r="T710" s="567"/>
      <c r="AY710" s="554"/>
    </row>
    <row r="711" spans="2:51" x14ac:dyDescent="0.55000000000000004">
      <c r="B711" s="713"/>
      <c r="C711" s="717"/>
      <c r="D711" s="717"/>
      <c r="E711" s="717"/>
      <c r="F711" s="717"/>
      <c r="G711" s="714"/>
      <c r="H711" s="715"/>
      <c r="I711" s="715"/>
      <c r="J711" s="715"/>
      <c r="K711" s="715"/>
      <c r="T711" s="567"/>
      <c r="AY711" s="554"/>
    </row>
    <row r="712" spans="2:51" x14ac:dyDescent="0.55000000000000004">
      <c r="B712" s="718" t="s">
        <v>14</v>
      </c>
      <c r="C712" s="719">
        <f>I683</f>
        <v>1175.035568067945</v>
      </c>
      <c r="D712" s="719">
        <f>J683</f>
        <v>1852.2771200749705</v>
      </c>
      <c r="E712" s="719">
        <f>K683</f>
        <v>2479.2637571903897</v>
      </c>
      <c r="F712" s="719">
        <f>L683</f>
        <v>3214.0149555049329</v>
      </c>
      <c r="G712" s="720"/>
      <c r="H712" s="721">
        <f>N683</f>
        <v>1.7242975609732776</v>
      </c>
      <c r="I712" s="721">
        <f>O683</f>
        <v>0.39906933626995911</v>
      </c>
      <c r="J712" s="721">
        <f>P683</f>
        <v>0.29115116905301464</v>
      </c>
      <c r="K712" s="721">
        <f>Q683</f>
        <v>0.2793251042256637</v>
      </c>
      <c r="T712" s="567"/>
      <c r="AY712" s="554"/>
    </row>
    <row r="713" spans="2:51" x14ac:dyDescent="0.55000000000000004">
      <c r="B713" s="722" t="s">
        <v>1003</v>
      </c>
      <c r="C713" s="722"/>
      <c r="D713" s="722"/>
      <c r="E713" s="722"/>
      <c r="F713" s="723"/>
      <c r="G713" s="722"/>
      <c r="H713" s="722"/>
      <c r="I713" s="722"/>
      <c r="J713" s="722"/>
      <c r="K713" s="722"/>
      <c r="T713" s="567"/>
      <c r="AY713" s="554"/>
    </row>
    <row r="714" spans="2:51" x14ac:dyDescent="0.55000000000000004">
      <c r="B714" s="707"/>
      <c r="C714" s="708">
        <v>2023</v>
      </c>
      <c r="D714" s="708">
        <v>2024</v>
      </c>
      <c r="E714" s="708">
        <v>2025</v>
      </c>
      <c r="F714" s="709">
        <v>2026</v>
      </c>
      <c r="G714" s="708"/>
      <c r="H714" s="708">
        <v>2023</v>
      </c>
      <c r="I714" s="708">
        <v>2024</v>
      </c>
      <c r="J714" s="708">
        <v>2025</v>
      </c>
      <c r="K714" s="708">
        <v>2026</v>
      </c>
      <c r="T714" s="567"/>
      <c r="AY714" s="554"/>
    </row>
    <row r="715" spans="2:51" x14ac:dyDescent="0.55000000000000004">
      <c r="B715" s="710" t="s">
        <v>1000</v>
      </c>
      <c r="C715" s="711">
        <v>0.8</v>
      </c>
      <c r="D715" s="711">
        <f>C715-10%</f>
        <v>0.70000000000000007</v>
      </c>
      <c r="E715" s="711">
        <f>D715-10%</f>
        <v>0.60000000000000009</v>
      </c>
      <c r="F715" s="711">
        <f>E715-10%</f>
        <v>0.50000000000000011</v>
      </c>
      <c r="G715" s="712"/>
      <c r="H715" s="712"/>
      <c r="I715" s="712"/>
      <c r="J715" s="712"/>
      <c r="K715" s="712"/>
      <c r="T715" s="567"/>
      <c r="AY715" s="554"/>
    </row>
    <row r="716" spans="2:51" x14ac:dyDescent="0.55000000000000004">
      <c r="B716" s="713"/>
      <c r="C716" s="714"/>
      <c r="D716" s="714"/>
      <c r="E716" s="714"/>
      <c r="F716" s="714"/>
      <c r="G716" s="714"/>
      <c r="H716" s="714"/>
      <c r="I716" s="714"/>
      <c r="J716" s="714"/>
      <c r="K716" s="714"/>
      <c r="T716" s="567"/>
      <c r="AY716" s="554"/>
    </row>
    <row r="717" spans="2:51" x14ac:dyDescent="0.55000000000000004">
      <c r="B717" s="710" t="s">
        <v>703</v>
      </c>
      <c r="C717" s="716">
        <f>I693</f>
        <v>3328.5803004740278</v>
      </c>
      <c r="D717" s="716">
        <f>J693</f>
        <v>5031.4628420927347</v>
      </c>
      <c r="E717" s="716">
        <f>K693</f>
        <v>6988.8550049921032</v>
      </c>
      <c r="F717" s="716">
        <f>L693</f>
        <v>8819.2289337281054</v>
      </c>
      <c r="G717" s="712"/>
      <c r="H717" s="711">
        <f>N693</f>
        <v>-1.4356067017573637E-2</v>
      </c>
      <c r="I717" s="711">
        <f>O693</f>
        <v>-2.3927319097738264E-2</v>
      </c>
      <c r="J717" s="711">
        <f>P693</f>
        <v>-1.5613212689698619E-2</v>
      </c>
      <c r="K717" s="711">
        <f>Q693</f>
        <v>-1.2578599602990903E-2</v>
      </c>
      <c r="T717" s="567"/>
      <c r="AY717" s="554"/>
    </row>
    <row r="718" spans="2:51" x14ac:dyDescent="0.55000000000000004">
      <c r="B718" s="713"/>
      <c r="C718" s="717"/>
      <c r="D718" s="717"/>
      <c r="E718" s="717"/>
      <c r="F718" s="717"/>
      <c r="G718" s="714"/>
      <c r="H718" s="715"/>
      <c r="I718" s="715"/>
      <c r="J718" s="715"/>
      <c r="K718" s="715"/>
      <c r="T718" s="567"/>
      <c r="AY718" s="554"/>
    </row>
    <row r="719" spans="2:51" x14ac:dyDescent="0.55000000000000004">
      <c r="B719" s="718" t="s">
        <v>14</v>
      </c>
      <c r="C719" s="719">
        <f>I695</f>
        <v>398.33625021467253</v>
      </c>
      <c r="D719" s="719">
        <f>J695</f>
        <v>1392.7761784882068</v>
      </c>
      <c r="E719" s="719">
        <f>K695</f>
        <v>2036.6971659975443</v>
      </c>
      <c r="F719" s="719">
        <f>L695</f>
        <v>2667.1937275851351</v>
      </c>
      <c r="G719" s="720"/>
      <c r="H719" s="721">
        <f>N695</f>
        <v>-7.6464998679662055E-2</v>
      </c>
      <c r="I719" s="721">
        <f>O695</f>
        <v>5.1997253807916755E-2</v>
      </c>
      <c r="J719" s="721">
        <f>P695</f>
        <v>6.0671305849589796E-2</v>
      </c>
      <c r="K719" s="721">
        <f>Q695</f>
        <v>6.1665219599707832E-2</v>
      </c>
      <c r="T719" s="567"/>
      <c r="AY719" s="554"/>
    </row>
    <row r="720" spans="2:51" x14ac:dyDescent="0.55000000000000004">
      <c r="F720" s="724"/>
    </row>
    <row r="724" spans="2:50" x14ac:dyDescent="0.55000000000000004">
      <c r="B724" s="702" t="s">
        <v>1006</v>
      </c>
      <c r="C724" s="613">
        <v>2022</v>
      </c>
      <c r="D724" s="613">
        <v>2023</v>
      </c>
      <c r="E724" s="613">
        <v>2024</v>
      </c>
      <c r="F724" s="613">
        <v>2025</v>
      </c>
      <c r="R724" s="554"/>
      <c r="S724" s="554"/>
      <c r="AW724" s="567"/>
      <c r="AX724" s="567"/>
    </row>
    <row r="725" spans="2:50" x14ac:dyDescent="0.55000000000000004">
      <c r="B725" s="552" t="s">
        <v>345</v>
      </c>
      <c r="C725" s="573">
        <f>Master!F193/Master!E193-1</f>
        <v>0.64340472343497535</v>
      </c>
      <c r="D725" s="573">
        <f>Master!G193/Master!F193-1</f>
        <v>0.72220479029390239</v>
      </c>
      <c r="E725" s="573">
        <f>Master!H193/Master!G193-1</f>
        <v>0.50783432527632688</v>
      </c>
      <c r="F725" s="573">
        <f>Master!I193/Master!H193-1</f>
        <v>0.11293138532838864</v>
      </c>
      <c r="R725" s="554"/>
      <c r="S725" s="554"/>
      <c r="AW725" s="567"/>
      <c r="AX725" s="567"/>
    </row>
    <row r="726" spans="2:50" x14ac:dyDescent="0.55000000000000004">
      <c r="B726" s="552" t="s">
        <v>218</v>
      </c>
      <c r="C726" s="573">
        <f>Master!F194/Master!E194-1</f>
        <v>4.9053827586206902</v>
      </c>
      <c r="D726" s="573">
        <f>Master!G194/Master!F194-1</f>
        <v>0.40022262953942467</v>
      </c>
      <c r="E726" s="573">
        <f>Master!H194/Master!G194-1</f>
        <v>0.91392707710699339</v>
      </c>
      <c r="F726" s="573">
        <f>Master!I194/Master!H194-1</f>
        <v>0.59762509535047736</v>
      </c>
    </row>
    <row r="727" spans="2:50" x14ac:dyDescent="0.55000000000000004">
      <c r="B727" s="552" t="s">
        <v>353</v>
      </c>
      <c r="C727" s="573">
        <f>SUM(Master!F193:F194)/SUM(Master!E193:E194)-1</f>
        <v>0.92056469184730139</v>
      </c>
      <c r="D727" s="573">
        <f>SUM(Master!G193:G194)/SUM(Master!F193:F194)-1</f>
        <v>0.65782193727187388</v>
      </c>
      <c r="E727" s="573">
        <f>SUM(Master!H193:H194)/SUM(Master!G193:G194)-1</f>
        <v>0.5764183323238441</v>
      </c>
      <c r="F727" s="573">
        <f>SUM(Master!I193:I194)/SUM(Master!H193:H194)-1</f>
        <v>0.21231594344126825</v>
      </c>
    </row>
    <row r="731" spans="2:50" x14ac:dyDescent="0.55000000000000004">
      <c r="B731" s="702" t="s">
        <v>1048</v>
      </c>
    </row>
    <row r="732" spans="2:50" x14ac:dyDescent="0.55000000000000004">
      <c r="B732" s="552" t="s">
        <v>1049</v>
      </c>
      <c r="C732" s="575">
        <v>1.05</v>
      </c>
    </row>
    <row r="733" spans="2:50" x14ac:dyDescent="0.55000000000000004">
      <c r="B733" s="552" t="s">
        <v>1050</v>
      </c>
      <c r="C733" s="575">
        <v>1.03</v>
      </c>
    </row>
    <row r="734" spans="2:50" x14ac:dyDescent="0.55000000000000004">
      <c r="B734" s="552" t="s">
        <v>431</v>
      </c>
      <c r="C734" s="575">
        <v>1</v>
      </c>
    </row>
    <row r="735" spans="2:50" x14ac:dyDescent="0.55000000000000004">
      <c r="B735" s="552" t="s">
        <v>393</v>
      </c>
      <c r="C735" s="575">
        <v>1</v>
      </c>
    </row>
    <row r="736" spans="2:50" x14ac:dyDescent="0.55000000000000004">
      <c r="B736" s="552" t="s">
        <v>132</v>
      </c>
      <c r="C736" s="575">
        <v>1</v>
      </c>
    </row>
    <row r="737" spans="2:8" x14ac:dyDescent="0.55000000000000004">
      <c r="B737" s="552" t="s">
        <v>392</v>
      </c>
      <c r="C737" s="575">
        <v>0</v>
      </c>
    </row>
    <row r="741" spans="2:8" x14ac:dyDescent="0.55000000000000004">
      <c r="B741" s="702" t="s">
        <v>1058</v>
      </c>
    </row>
    <row r="742" spans="2:8" x14ac:dyDescent="0.55000000000000004">
      <c r="B742" s="552" t="s">
        <v>430</v>
      </c>
      <c r="C742" s="567">
        <f>C750/30</f>
        <v>266.66666666666669</v>
      </c>
      <c r="D742" s="552" t="s">
        <v>395</v>
      </c>
      <c r="F742" s="552" t="s">
        <v>256</v>
      </c>
      <c r="G742" s="578">
        <v>5.24</v>
      </c>
    </row>
    <row r="743" spans="2:8" x14ac:dyDescent="0.55000000000000004">
      <c r="B743" s="552" t="s">
        <v>431</v>
      </c>
      <c r="C743" s="567">
        <f>C752/20.3</f>
        <v>640.93201970443351</v>
      </c>
    </row>
    <row r="744" spans="2:8" x14ac:dyDescent="0.55000000000000004">
      <c r="B744" s="552" t="s">
        <v>393</v>
      </c>
      <c r="C744" s="567">
        <f>SUM(C751:E751)/14.3</f>
        <v>783.21678321678314</v>
      </c>
      <c r="D744" s="552" t="s">
        <v>395</v>
      </c>
    </row>
    <row r="745" spans="2:8" x14ac:dyDescent="0.55000000000000004">
      <c r="B745" s="552" t="s">
        <v>132</v>
      </c>
      <c r="C745" s="567">
        <f>E745*G742</f>
        <v>1419.4202150537635</v>
      </c>
      <c r="D745" s="552" t="s">
        <v>1057</v>
      </c>
      <c r="E745" s="552">
        <f>Quarts!M224/Quarts!M208</f>
        <v>270.88172043010752</v>
      </c>
    </row>
    <row r="746" spans="2:8" x14ac:dyDescent="0.55000000000000004">
      <c r="B746" s="552" t="s">
        <v>694</v>
      </c>
      <c r="C746" s="567">
        <f>SUM(C754:E754)/14.7</f>
        <v>1692.2448979591838</v>
      </c>
      <c r="D746" s="552" t="s">
        <v>395</v>
      </c>
    </row>
    <row r="747" spans="2:8" x14ac:dyDescent="0.55000000000000004">
      <c r="B747" s="552" t="s">
        <v>392</v>
      </c>
      <c r="C747" s="567">
        <f>SUM(C753:E753)/9.9</f>
        <v>1906.969696969697</v>
      </c>
      <c r="D747" s="552" t="s">
        <v>395</v>
      </c>
    </row>
    <row r="749" spans="2:8" x14ac:dyDescent="0.55000000000000004">
      <c r="B749" s="702" t="s">
        <v>47</v>
      </c>
      <c r="C749" s="552" t="s">
        <v>1059</v>
      </c>
      <c r="G749" s="552" t="s">
        <v>1060</v>
      </c>
      <c r="H749" s="552" t="s">
        <v>1061</v>
      </c>
    </row>
    <row r="750" spans="2:8" x14ac:dyDescent="0.55000000000000004">
      <c r="B750" s="552" t="s">
        <v>430</v>
      </c>
      <c r="C750" s="568">
        <v>8000</v>
      </c>
      <c r="D750" s="568"/>
      <c r="E750" s="568"/>
      <c r="F750" s="568">
        <f t="shared" ref="F750:F755" si="25">C750+D750+E750</f>
        <v>8000</v>
      </c>
      <c r="G750" s="552" t="s">
        <v>395</v>
      </c>
      <c r="H750" s="552"/>
    </row>
    <row r="751" spans="2:8" x14ac:dyDescent="0.55000000000000004">
      <c r="B751" s="552" t="s">
        <v>393</v>
      </c>
      <c r="C751" s="568">
        <v>5500</v>
      </c>
      <c r="D751" s="568">
        <v>4400</v>
      </c>
      <c r="E751" s="568">
        <f>11200-C751-D751</f>
        <v>1300</v>
      </c>
      <c r="F751" s="568">
        <f t="shared" si="25"/>
        <v>11200</v>
      </c>
      <c r="G751" s="552" t="s">
        <v>395</v>
      </c>
      <c r="H751" s="552"/>
    </row>
    <row r="752" spans="2:8" x14ac:dyDescent="0.55000000000000004">
      <c r="B752" s="552" t="s">
        <v>431</v>
      </c>
      <c r="C752" s="568">
        <f>H752*G742</f>
        <v>13010.92</v>
      </c>
      <c r="D752" s="568"/>
      <c r="E752" s="568"/>
      <c r="F752" s="568">
        <f t="shared" si="25"/>
        <v>13010.92</v>
      </c>
      <c r="G752" s="552" t="s">
        <v>1057</v>
      </c>
      <c r="H752" s="552">
        <v>2483</v>
      </c>
    </row>
    <row r="753" spans="2:8" x14ac:dyDescent="0.55000000000000004">
      <c r="B753" s="552" t="s">
        <v>392</v>
      </c>
      <c r="C753" s="568">
        <f>9697+1215</f>
        <v>10912</v>
      </c>
      <c r="D753" s="568">
        <v>7894</v>
      </c>
      <c r="E753" s="568">
        <f>18879-C753-D753</f>
        <v>73</v>
      </c>
      <c r="F753" s="568">
        <f t="shared" si="25"/>
        <v>18879</v>
      </c>
      <c r="G753" s="552" t="s">
        <v>395</v>
      </c>
      <c r="H753" s="552"/>
    </row>
    <row r="754" spans="2:8" x14ac:dyDescent="0.55000000000000004">
      <c r="B754" s="552" t="s">
        <v>694</v>
      </c>
      <c r="C754" s="568">
        <f>318+3337</f>
        <v>3655</v>
      </c>
      <c r="D754" s="568">
        <f>24876-C754-E754</f>
        <v>17884</v>
      </c>
      <c r="E754" s="568">
        <v>3337</v>
      </c>
      <c r="F754" s="568">
        <f t="shared" si="25"/>
        <v>24876</v>
      </c>
      <c r="G754" s="552" t="s">
        <v>395</v>
      </c>
      <c r="H754" s="552"/>
    </row>
    <row r="755" spans="2:8" x14ac:dyDescent="0.55000000000000004">
      <c r="B755" s="552" t="s">
        <v>132</v>
      </c>
      <c r="C755" s="568">
        <f>H755*G742</f>
        <v>66003.040000000008</v>
      </c>
      <c r="D755" s="568"/>
      <c r="E755" s="568"/>
      <c r="F755" s="568">
        <f t="shared" si="25"/>
        <v>66003.040000000008</v>
      </c>
      <c r="G755" s="552" t="s">
        <v>1057</v>
      </c>
      <c r="H755" s="568">
        <f>Quarts!M224</f>
        <v>12596</v>
      </c>
    </row>
    <row r="757" spans="2:8" x14ac:dyDescent="0.55000000000000004">
      <c r="B757" s="702" t="s">
        <v>520</v>
      </c>
    </row>
    <row r="771" spans="2:4" x14ac:dyDescent="0.55000000000000004">
      <c r="B771" s="613" t="s">
        <v>1067</v>
      </c>
    </row>
    <row r="772" spans="2:4" x14ac:dyDescent="0.55000000000000004">
      <c r="C772" s="552">
        <v>2510</v>
      </c>
      <c r="D772" s="575">
        <v>1.63</v>
      </c>
    </row>
    <row r="773" spans="2:4" x14ac:dyDescent="0.55000000000000004">
      <c r="C773" s="552">
        <v>405</v>
      </c>
      <c r="D773" s="575">
        <v>1.18</v>
      </c>
    </row>
    <row r="774" spans="2:4" x14ac:dyDescent="0.55000000000000004">
      <c r="C774" s="552">
        <v>218</v>
      </c>
      <c r="D774" s="575">
        <v>1.52</v>
      </c>
    </row>
    <row r="775" spans="2:4" x14ac:dyDescent="0.55000000000000004">
      <c r="B775" s="618"/>
      <c r="C775" s="618">
        <v>5167</v>
      </c>
      <c r="D775" s="726">
        <v>0.59</v>
      </c>
    </row>
    <row r="776" spans="2:4" x14ac:dyDescent="0.55000000000000004">
      <c r="C776" s="552">
        <f>SUM(C772:C775)</f>
        <v>8300</v>
      </c>
      <c r="D776" s="575">
        <f>((C772*D772)+(C773*D773)+(C774*D774)+(C775*D775))/C776</f>
        <v>0.95772168674698788</v>
      </c>
    </row>
    <row r="778" spans="2:4" x14ac:dyDescent="0.55000000000000004">
      <c r="B778" s="552" t="s">
        <v>392</v>
      </c>
      <c r="C778" s="575">
        <v>0.53</v>
      </c>
    </row>
    <row r="779" spans="2:4" x14ac:dyDescent="0.55000000000000004">
      <c r="B779" s="552" t="s">
        <v>393</v>
      </c>
      <c r="C779" s="575">
        <f>D776</f>
        <v>0.95772168674698788</v>
      </c>
    </row>
    <row r="780" spans="2:4" x14ac:dyDescent="0.55000000000000004">
      <c r="B780" s="567" t="s">
        <v>132</v>
      </c>
      <c r="C780" s="575">
        <v>0.96</v>
      </c>
    </row>
    <row r="781" spans="2:4" x14ac:dyDescent="0.55000000000000004">
      <c r="B781" s="552" t="s">
        <v>1068</v>
      </c>
      <c r="C781" s="575">
        <v>1</v>
      </c>
    </row>
    <row r="782" spans="2:4" x14ac:dyDescent="0.55000000000000004">
      <c r="B782" s="567" t="s">
        <v>394</v>
      </c>
      <c r="C782" s="575">
        <v>1.02</v>
      </c>
    </row>
    <row r="798" spans="2:13" x14ac:dyDescent="0.55000000000000004">
      <c r="E798" s="613" t="s">
        <v>1072</v>
      </c>
    </row>
    <row r="799" spans="2:13" x14ac:dyDescent="0.55000000000000004">
      <c r="B799" s="613"/>
      <c r="C799" s="613"/>
      <c r="D799" s="613"/>
      <c r="E799" s="613" t="s">
        <v>1071</v>
      </c>
      <c r="F799" s="613"/>
      <c r="G799" s="606"/>
      <c r="H799" s="613" t="s">
        <v>1069</v>
      </c>
      <c r="I799" s="613"/>
      <c r="J799" s="606"/>
      <c r="K799" s="613" t="s">
        <v>1070</v>
      </c>
      <c r="L799" s="613"/>
      <c r="M799" s="606"/>
    </row>
    <row r="800" spans="2:13" x14ac:dyDescent="0.55000000000000004">
      <c r="B800" s="727">
        <v>2022</v>
      </c>
      <c r="C800" s="574" t="s">
        <v>1065</v>
      </c>
      <c r="D800" s="579" t="s">
        <v>65</v>
      </c>
      <c r="E800" s="728">
        <v>0.05</v>
      </c>
      <c r="F800" s="728">
        <v>0.1</v>
      </c>
      <c r="G800" s="728">
        <v>0.2</v>
      </c>
      <c r="H800" s="728">
        <f t="shared" ref="H800:M800" si="26">E800</f>
        <v>0.05</v>
      </c>
      <c r="I800" s="728">
        <f t="shared" si="26"/>
        <v>0.1</v>
      </c>
      <c r="J800" s="728">
        <f t="shared" si="26"/>
        <v>0.2</v>
      </c>
      <c r="K800" s="728">
        <f t="shared" si="26"/>
        <v>0.05</v>
      </c>
      <c r="L800" s="728">
        <f t="shared" si="26"/>
        <v>0.1</v>
      </c>
      <c r="M800" s="728">
        <f t="shared" si="26"/>
        <v>0.2</v>
      </c>
    </row>
    <row r="801" spans="2:15" x14ac:dyDescent="0.55000000000000004">
      <c r="B801" s="552" t="s">
        <v>1064</v>
      </c>
      <c r="C801" s="552">
        <v>10619</v>
      </c>
      <c r="D801" s="699">
        <f>D802</f>
        <v>0.13250000000000001</v>
      </c>
      <c r="E801" s="567">
        <f>E$800*$H752*$D801*0.5</f>
        <v>8.2249375000000011</v>
      </c>
      <c r="F801" s="567">
        <f>F$800*$H752*$D801*0.5</f>
        <v>16.449875000000002</v>
      </c>
      <c r="G801" s="567">
        <f>G$800*$H752*$D801*0.5</f>
        <v>32.899750000000004</v>
      </c>
      <c r="H801" s="567">
        <f t="shared" ref="H801:J804" si="27">0.75*E801</f>
        <v>6.1687031250000004</v>
      </c>
      <c r="I801" s="567">
        <f t="shared" si="27"/>
        <v>12.337406250000001</v>
      </c>
      <c r="J801" s="567">
        <f t="shared" si="27"/>
        <v>24.674812500000002</v>
      </c>
      <c r="K801" s="755">
        <v>0</v>
      </c>
      <c r="L801" s="755">
        <v>0</v>
      </c>
      <c r="M801" s="755">
        <v>0</v>
      </c>
    </row>
    <row r="802" spans="2:15" x14ac:dyDescent="0.55000000000000004">
      <c r="B802" s="552" t="s">
        <v>1066</v>
      </c>
      <c r="C802" s="552">
        <v>15333</v>
      </c>
      <c r="D802" s="699">
        <f>D804</f>
        <v>0.13250000000000001</v>
      </c>
      <c r="E802" s="567">
        <f>E$800*$F751*$D802</f>
        <v>74.2</v>
      </c>
      <c r="F802" s="567">
        <f>F$800*$F751*$D802</f>
        <v>148.4</v>
      </c>
      <c r="G802" s="567">
        <f>G$800*$F751*$D802</f>
        <v>296.8</v>
      </c>
      <c r="H802" s="567">
        <f t="shared" si="27"/>
        <v>55.650000000000006</v>
      </c>
      <c r="I802" s="567">
        <f t="shared" si="27"/>
        <v>111.30000000000001</v>
      </c>
      <c r="J802" s="567">
        <f t="shared" si="27"/>
        <v>222.60000000000002</v>
      </c>
      <c r="K802" s="611">
        <f t="shared" ref="K802:M804" si="28">H802/$C802</f>
        <v>3.6294267266679713E-3</v>
      </c>
      <c r="L802" s="611">
        <f t="shared" si="28"/>
        <v>7.2588534533359426E-3</v>
      </c>
      <c r="M802" s="611">
        <f t="shared" si="28"/>
        <v>1.4517706906671885E-2</v>
      </c>
    </row>
    <row r="803" spans="2:15" x14ac:dyDescent="0.55000000000000004">
      <c r="B803" s="552" t="str">
        <f>B755</f>
        <v>Nubank</v>
      </c>
      <c r="C803" s="568">
        <f>Master!G4</f>
        <v>4790.1710000000003</v>
      </c>
      <c r="D803" s="699">
        <f>D801</f>
        <v>0.13250000000000001</v>
      </c>
      <c r="E803" s="567">
        <f>E$800*$H755*$D803</f>
        <v>83.44850000000001</v>
      </c>
      <c r="F803" s="567">
        <f>F$800*$H755*$D803</f>
        <v>166.89700000000002</v>
      </c>
      <c r="G803" s="567">
        <f>G$800*$H755*$D803</f>
        <v>333.79400000000004</v>
      </c>
      <c r="H803" s="567">
        <f t="shared" si="27"/>
        <v>62.586375000000004</v>
      </c>
      <c r="I803" s="567">
        <f t="shared" si="27"/>
        <v>125.17275000000001</v>
      </c>
      <c r="J803" s="567">
        <f t="shared" si="27"/>
        <v>250.34550000000002</v>
      </c>
      <c r="K803" s="611">
        <f t="shared" si="28"/>
        <v>1.3065582627426036E-2</v>
      </c>
      <c r="L803" s="611">
        <f t="shared" si="28"/>
        <v>2.6131165254852071E-2</v>
      </c>
      <c r="M803" s="611">
        <f t="shared" si="28"/>
        <v>5.2262330509704143E-2</v>
      </c>
      <c r="O803" s="567" t="s">
        <v>1057</v>
      </c>
    </row>
    <row r="804" spans="2:15" x14ac:dyDescent="0.55000000000000004">
      <c r="B804" s="552" t="str">
        <f>B750</f>
        <v>Picpay</v>
      </c>
      <c r="C804" s="552">
        <v>1700</v>
      </c>
      <c r="D804" s="699">
        <v>0.13250000000000001</v>
      </c>
      <c r="E804" s="552">
        <f>E$800*$F750*$D804</f>
        <v>53</v>
      </c>
      <c r="F804" s="552">
        <f>F$800*$F750*$D804</f>
        <v>106</v>
      </c>
      <c r="G804" s="552">
        <f>G$800*$F750*$D804</f>
        <v>212</v>
      </c>
      <c r="H804" s="567">
        <f t="shared" si="27"/>
        <v>39.75</v>
      </c>
      <c r="I804" s="567">
        <f t="shared" si="27"/>
        <v>79.5</v>
      </c>
      <c r="J804" s="567">
        <f t="shared" si="27"/>
        <v>159</v>
      </c>
      <c r="K804" s="611">
        <f t="shared" si="28"/>
        <v>2.3382352941176472E-2</v>
      </c>
      <c r="L804" s="611">
        <f t="shared" si="28"/>
        <v>4.6764705882352944E-2</v>
      </c>
      <c r="M804" s="611">
        <f t="shared" si="28"/>
        <v>9.3529411764705889E-2</v>
      </c>
    </row>
    <row r="827" spans="2:3" x14ac:dyDescent="0.55000000000000004">
      <c r="B827" s="613" t="s">
        <v>1077</v>
      </c>
    </row>
    <row r="828" spans="2:3" x14ac:dyDescent="0.55000000000000004">
      <c r="B828" s="613"/>
    </row>
    <row r="829" spans="2:3" x14ac:dyDescent="0.55000000000000004">
      <c r="B829" s="574" t="s">
        <v>1073</v>
      </c>
      <c r="C829" s="579" t="s">
        <v>1081</v>
      </c>
    </row>
    <row r="830" spans="2:3" ht="15.6" thickBot="1" x14ac:dyDescent="0.6">
      <c r="B830" s="732">
        <f>B831+1%</f>
        <v>0.16</v>
      </c>
      <c r="C830" s="733">
        <v>6.4</v>
      </c>
    </row>
    <row r="831" spans="2:3" ht="15.6" thickBot="1" x14ac:dyDescent="0.6">
      <c r="B831" s="730">
        <v>0.15</v>
      </c>
      <c r="C831" s="731">
        <v>7.2</v>
      </c>
    </row>
    <row r="832" spans="2:3" x14ac:dyDescent="0.55000000000000004">
      <c r="B832" s="732">
        <f>B831-1%</f>
        <v>0.13999999999999999</v>
      </c>
      <c r="C832" s="733">
        <v>8.1999999999999993</v>
      </c>
    </row>
    <row r="833" spans="2:16" x14ac:dyDescent="0.55000000000000004">
      <c r="B833" s="729">
        <f>B832-1%</f>
        <v>0.12999999999999998</v>
      </c>
      <c r="C833" s="580">
        <v>9.4</v>
      </c>
    </row>
    <row r="834" spans="2:16" x14ac:dyDescent="0.55000000000000004">
      <c r="B834" s="732">
        <f>B833-1%</f>
        <v>0.11999999999999998</v>
      </c>
      <c r="C834" s="733">
        <v>11</v>
      </c>
    </row>
    <row r="836" spans="2:16" x14ac:dyDescent="0.55000000000000004">
      <c r="C836" s="552" t="str">
        <f>Quarts!H2</f>
        <v>Q1 21</v>
      </c>
      <c r="D836" s="552" t="str">
        <f>Quarts!I2</f>
        <v>Q2 21</v>
      </c>
      <c r="E836" s="552" t="str">
        <f>Quarts!J2</f>
        <v>Q3 21</v>
      </c>
      <c r="F836" s="552" t="str">
        <f>Quarts!K2</f>
        <v>Q4 21</v>
      </c>
      <c r="G836" s="552">
        <f>Quarts!L2</f>
        <v>2021</v>
      </c>
      <c r="H836" s="552" t="str">
        <f>Quarts!M2</f>
        <v>Q1 22</v>
      </c>
      <c r="I836" s="552" t="e">
        <f>Quarts!#REF!</f>
        <v>#REF!</v>
      </c>
      <c r="J836" s="552" t="e">
        <f>Quarts!#REF!</f>
        <v>#REF!</v>
      </c>
      <c r="K836" s="552" t="e">
        <f>Quarts!#REF!</f>
        <v>#REF!</v>
      </c>
      <c r="L836" s="552">
        <f>Quarts!Q2</f>
        <v>2022</v>
      </c>
      <c r="M836" s="552" t="e">
        <f>Quarts!#REF!</f>
        <v>#REF!</v>
      </c>
      <c r="N836" s="552" t="e">
        <f>Quarts!#REF!</f>
        <v>#REF!</v>
      </c>
      <c r="O836" s="552" t="e">
        <f>Quarts!#REF!</f>
        <v>#REF!</v>
      </c>
      <c r="P836" s="552" t="e">
        <f>Quarts!#REF!</f>
        <v>#REF!</v>
      </c>
    </row>
    <row r="837" spans="2:16" x14ac:dyDescent="0.55000000000000004">
      <c r="C837" s="575">
        <f>Quarts!H31</f>
        <v>1.0740830577077807</v>
      </c>
    </row>
    <row r="839" spans="2:16" x14ac:dyDescent="0.55000000000000004">
      <c r="B839" s="613" t="s">
        <v>1078</v>
      </c>
    </row>
    <row r="840" spans="2:16" x14ac:dyDescent="0.55000000000000004">
      <c r="B840" s="613"/>
    </row>
    <row r="841" spans="2:16" x14ac:dyDescent="0.55000000000000004">
      <c r="B841" s="613"/>
      <c r="C841" s="613">
        <f>'Revenue and Expenses breakdown'!E1</f>
        <v>2021</v>
      </c>
      <c r="D841" s="613">
        <f>'Revenue and Expenses breakdown'!F1</f>
        <v>2022</v>
      </c>
      <c r="E841" s="613">
        <f>'Revenue and Expenses breakdown'!G1</f>
        <v>2023</v>
      </c>
      <c r="F841" s="613">
        <f>'Revenue and Expenses breakdown'!H1</f>
        <v>2024</v>
      </c>
      <c r="G841" s="613">
        <f>'Revenue and Expenses breakdown'!I1</f>
        <v>2025</v>
      </c>
      <c r="H841" s="613">
        <f>'Revenue and Expenses breakdown'!J1</f>
        <v>2026</v>
      </c>
      <c r="I841" s="613">
        <f>'Revenue and Expenses breakdown'!K1</f>
        <v>2027</v>
      </c>
      <c r="J841" s="613">
        <f>'Revenue and Expenses breakdown'!L1</f>
        <v>2028</v>
      </c>
      <c r="K841" s="613">
        <f>'Revenue and Expenses breakdown'!M1</f>
        <v>2029</v>
      </c>
      <c r="L841" s="613">
        <f>'Revenue and Expenses breakdown'!N1</f>
        <v>2030</v>
      </c>
    </row>
    <row r="842" spans="2:16" x14ac:dyDescent="0.55000000000000004">
      <c r="B842" s="552" t="s">
        <v>1079</v>
      </c>
      <c r="C842" s="575">
        <f>'Revenue and Expenses breakdown'!E74</f>
        <v>0.95684707704500005</v>
      </c>
      <c r="D842" s="575">
        <f>'Revenue and Expenses breakdown'!F74</f>
        <v>0.87038144188514732</v>
      </c>
      <c r="E842" s="575">
        <f>'Revenue and Expenses breakdown'!G74</f>
        <v>0.65534433806905668</v>
      </c>
      <c r="F842" s="575">
        <f>'Revenue and Expenses breakdown'!H74</f>
        <v>0.8103443380690567</v>
      </c>
      <c r="G842" s="575">
        <f>'Revenue and Expenses breakdown'!I74</f>
        <v>0.8103443380690567</v>
      </c>
      <c r="H842" s="575">
        <f>'Revenue and Expenses breakdown'!J74</f>
        <v>0.8103443380690567</v>
      </c>
      <c r="I842" s="575">
        <f>'Revenue and Expenses breakdown'!K74</f>
        <v>0.8103443380690567</v>
      </c>
      <c r="J842" s="575">
        <f>'Revenue and Expenses breakdown'!L74</f>
        <v>0.8103443380690567</v>
      </c>
      <c r="K842" s="575">
        <f>'Revenue and Expenses breakdown'!M74</f>
        <v>0.8103443380690567</v>
      </c>
      <c r="L842" s="575">
        <f>'Revenue and Expenses breakdown'!N74</f>
        <v>0.8103443380690567</v>
      </c>
    </row>
    <row r="843" spans="2:16" x14ac:dyDescent="0.55000000000000004">
      <c r="B843" s="552" t="s">
        <v>1080</v>
      </c>
      <c r="C843" s="575">
        <f>-'Revenue and Expenses breakdown'!E71/'Revenue and Expenses breakdown'!E4</f>
        <v>0.18705256247131002</v>
      </c>
      <c r="D843" s="575">
        <f>-'Revenue and Expenses breakdown'!F71/'Revenue and Expenses breakdown'!F4</f>
        <v>0.29393522694701296</v>
      </c>
      <c r="E843" s="575">
        <f>-'Revenue and Expenses breakdown'!G71/'Revenue and Expenses breakdown'!G4</f>
        <v>0.21462381664175387</v>
      </c>
      <c r="F843" s="575">
        <f>-'Revenue and Expenses breakdown'!H71/'Revenue and Expenses breakdown'!H4</f>
        <v>0.19396941397703826</v>
      </c>
      <c r="G843" s="575">
        <f>-'Revenue and Expenses breakdown'!I71/'Revenue and Expenses breakdown'!I4</f>
        <v>0.18403188303982956</v>
      </c>
      <c r="H843" s="575">
        <f>-'Revenue and Expenses breakdown'!J71/'Revenue and Expenses breakdown'!J4</f>
        <v>0.17728751223666389</v>
      </c>
      <c r="I843" s="575">
        <f>-'Revenue and Expenses breakdown'!K71/'Revenue and Expenses breakdown'!K4</f>
        <v>0.17161059023422745</v>
      </c>
      <c r="J843" s="575">
        <f>-'Revenue and Expenses breakdown'!L71/'Revenue and Expenses breakdown'!L4</f>
        <v>0.17858931028259525</v>
      </c>
      <c r="K843" s="575">
        <f>-'Revenue and Expenses breakdown'!M71/'Revenue and Expenses breakdown'!M4</f>
        <v>0.18527935402308013</v>
      </c>
      <c r="L843" s="575">
        <f>-'Revenue and Expenses breakdown'!N71/'Revenue and Expenses breakdown'!N4</f>
        <v>0.18767654334589029</v>
      </c>
    </row>
    <row r="862" spans="2:12" x14ac:dyDescent="0.55000000000000004">
      <c r="B862" s="613"/>
      <c r="C862" s="613">
        <f t="shared" ref="C862:L862" si="29">C841</f>
        <v>2021</v>
      </c>
      <c r="D862" s="613">
        <f t="shared" si="29"/>
        <v>2022</v>
      </c>
      <c r="E862" s="613">
        <f t="shared" si="29"/>
        <v>2023</v>
      </c>
      <c r="F862" s="613">
        <f t="shared" si="29"/>
        <v>2024</v>
      </c>
      <c r="G862" s="613">
        <f t="shared" si="29"/>
        <v>2025</v>
      </c>
      <c r="H862" s="613">
        <f t="shared" si="29"/>
        <v>2026</v>
      </c>
      <c r="I862" s="613">
        <f t="shared" si="29"/>
        <v>2027</v>
      </c>
      <c r="J862" s="613">
        <f t="shared" si="29"/>
        <v>2028</v>
      </c>
      <c r="K862" s="613">
        <f t="shared" si="29"/>
        <v>2029</v>
      </c>
      <c r="L862" s="613">
        <f t="shared" si="29"/>
        <v>2030</v>
      </c>
    </row>
    <row r="863" spans="2:12" x14ac:dyDescent="0.55000000000000004">
      <c r="B863" s="552" t="s">
        <v>921</v>
      </c>
      <c r="C863" s="568">
        <f>-Master!F12</f>
        <v>480.64299999999997</v>
      </c>
      <c r="D863" s="568">
        <f>-Master!G12</f>
        <v>1405</v>
      </c>
      <c r="E863" s="568">
        <f>-Master!H12</f>
        <v>2285</v>
      </c>
      <c r="F863" s="568">
        <f>-Master!I12</f>
        <v>3397.7659999999996</v>
      </c>
      <c r="G863" s="568">
        <f>-Master!J12</f>
        <v>4216.4800000000005</v>
      </c>
      <c r="H863" s="568">
        <f>-Master!K12</f>
        <v>5153.5</v>
      </c>
      <c r="I863" s="568">
        <f>-Master!L12</f>
        <v>5584.42</v>
      </c>
      <c r="J863" s="568">
        <f>-Master!M12</f>
        <v>5883.5</v>
      </c>
      <c r="K863" s="568">
        <f>-Master!N12</f>
        <v>6314.42</v>
      </c>
      <c r="L863" s="568">
        <f>-Master!O12</f>
        <v>6613.5000000000009</v>
      </c>
    </row>
    <row r="864" spans="2:12" x14ac:dyDescent="0.55000000000000004">
      <c r="B864" s="552" t="s">
        <v>1082</v>
      </c>
      <c r="C864" s="575">
        <f>C863/Master!F4</f>
        <v>0.28323831133481775</v>
      </c>
      <c r="D864" s="575">
        <f>D863/Master!G4</f>
        <v>0.2933089445032338</v>
      </c>
      <c r="E864" s="575">
        <f>E863/Master!H4</f>
        <v>0.28462879920279022</v>
      </c>
      <c r="F864" s="575">
        <f>F863/Master!I4</f>
        <v>0.28414972239489938</v>
      </c>
      <c r="G864" s="575">
        <f>G863/Master!J4</f>
        <v>0.27660175521304053</v>
      </c>
      <c r="H864" s="575">
        <f>H863/Master!K4</f>
        <v>0.27542793947198668</v>
      </c>
      <c r="I864" s="575">
        <f>I863/Master!L4</f>
        <v>0.25575581647859952</v>
      </c>
      <c r="J864" s="575">
        <f>J863/Master!M4</f>
        <v>0.23921211532036196</v>
      </c>
      <c r="K864" s="575">
        <f>K863/Master!N4</f>
        <v>0.23191138056796837</v>
      </c>
      <c r="L864" s="575">
        <f>L863/Master!O4</f>
        <v>0.21734277893411061</v>
      </c>
    </row>
    <row r="867" spans="2:12" x14ac:dyDescent="0.55000000000000004">
      <c r="C867" s="613">
        <f t="shared" ref="C867:L867" si="30">C862</f>
        <v>2021</v>
      </c>
      <c r="D867" s="613">
        <f t="shared" si="30"/>
        <v>2022</v>
      </c>
      <c r="E867" s="613">
        <f t="shared" si="30"/>
        <v>2023</v>
      </c>
      <c r="F867" s="613">
        <f t="shared" si="30"/>
        <v>2024</v>
      </c>
      <c r="G867" s="613">
        <f t="shared" si="30"/>
        <v>2025</v>
      </c>
      <c r="H867" s="613">
        <f t="shared" si="30"/>
        <v>2026</v>
      </c>
      <c r="I867" s="613">
        <f t="shared" si="30"/>
        <v>2027</v>
      </c>
      <c r="J867" s="613">
        <f t="shared" si="30"/>
        <v>2028</v>
      </c>
      <c r="K867" s="613">
        <f t="shared" si="30"/>
        <v>2029</v>
      </c>
      <c r="L867" s="613">
        <f t="shared" si="30"/>
        <v>2030</v>
      </c>
    </row>
    <row r="868" spans="2:12" x14ac:dyDescent="0.55000000000000004">
      <c r="B868" s="552" t="s">
        <v>408</v>
      </c>
      <c r="C868" s="575">
        <f>Master!F16</f>
        <v>0.43127228795779687</v>
      </c>
      <c r="D868" s="575">
        <f>Master!G16</f>
        <v>0.34720493276753589</v>
      </c>
      <c r="E868" s="575">
        <f>Master!H16</f>
        <v>0.4349775784753363</v>
      </c>
      <c r="F868" s="575">
        <f>Master!I16</f>
        <v>0.45550082387519197</v>
      </c>
      <c r="G868" s="575">
        <f>Master!J16</f>
        <v>0.47339720261768686</v>
      </c>
      <c r="H868" s="575">
        <f>Master!K16</f>
        <v>0.48682155729246507</v>
      </c>
      <c r="I868" s="575">
        <f>Master!L16</f>
        <v>0.51467630716853041</v>
      </c>
      <c r="J868" s="575">
        <f>Master!M16</f>
        <v>0.52665687355728108</v>
      </c>
      <c r="K868" s="575">
        <f>Master!N16</f>
        <v>0.52910998102865514</v>
      </c>
      <c r="L868" s="575">
        <f>Master!O16</f>
        <v>0.54370658570703545</v>
      </c>
    </row>
    <row r="888" spans="2:8" x14ac:dyDescent="0.55000000000000004">
      <c r="B888" s="574"/>
      <c r="C888" s="579" t="str">
        <f>Quarts!H2</f>
        <v>Q1 21</v>
      </c>
      <c r="D888" s="579" t="str">
        <f>Quarts!I2</f>
        <v>Q2 21</v>
      </c>
      <c r="E888" s="579" t="str">
        <f>Quarts!J2</f>
        <v>Q3 21</v>
      </c>
      <c r="F888" s="579" t="str">
        <f>Quarts!K2</f>
        <v>Q4 21</v>
      </c>
      <c r="G888" s="579" t="str">
        <f>Quarts!M2</f>
        <v>Q1 22</v>
      </c>
      <c r="H888" s="579" t="str">
        <f>Quarts!N2</f>
        <v>Q2 22</v>
      </c>
    </row>
    <row r="889" spans="2:8" x14ac:dyDescent="0.55000000000000004">
      <c r="B889" s="552" t="s">
        <v>1108</v>
      </c>
      <c r="C889" s="580">
        <f>Quarts!H261</f>
        <v>-0.1215519854501364</v>
      </c>
      <c r="D889" s="580">
        <f>Quarts!I261</f>
        <v>0.1023723017738833</v>
      </c>
      <c r="E889" s="827">
        <v>1.5</v>
      </c>
      <c r="F889" s="580">
        <f>Quarts!K261</f>
        <v>8.961876430728917E-2</v>
      </c>
      <c r="G889" s="580">
        <f>Quarts!M261</f>
        <v>0.1043888573323529</v>
      </c>
      <c r="H889" s="580">
        <f>Quarts!N261</f>
        <v>0.10607737229318111</v>
      </c>
    </row>
    <row r="890" spans="2:8" x14ac:dyDescent="0.55000000000000004">
      <c r="B890" s="828" t="s">
        <v>750</v>
      </c>
      <c r="C890" s="580">
        <f>Quarts!H234/1000</f>
        <v>0.4</v>
      </c>
      <c r="D890" s="580">
        <f>Quarts!I234/1000</f>
        <v>0.6</v>
      </c>
      <c r="E890" s="580">
        <f>Quarts!J234/1000</f>
        <v>0.79270000000000007</v>
      </c>
      <c r="F890" s="580">
        <f>Quarts!K234/1000</f>
        <v>1.1948099999999999</v>
      </c>
      <c r="G890" s="580">
        <f>Quarts!M234/1000</f>
        <v>1.667</v>
      </c>
      <c r="H890" s="580">
        <f>Quarts!N234/1000</f>
        <v>1.6757760000000002</v>
      </c>
    </row>
    <row r="891" spans="2:8" x14ac:dyDescent="0.55000000000000004">
      <c r="B891" s="828" t="s">
        <v>1110</v>
      </c>
      <c r="C891" s="580">
        <f t="shared" ref="C891:H891" si="31">C889-C890</f>
        <v>-0.52155198545013648</v>
      </c>
      <c r="D891" s="580">
        <f t="shared" si="31"/>
        <v>-0.49762769822611669</v>
      </c>
      <c r="E891" s="580">
        <f t="shared" si="31"/>
        <v>0.70729999999999993</v>
      </c>
      <c r="F891" s="580">
        <f t="shared" si="31"/>
        <v>-1.1051912356927107</v>
      </c>
      <c r="G891" s="580">
        <f t="shared" si="31"/>
        <v>-1.5626111426676472</v>
      </c>
      <c r="H891" s="580">
        <f t="shared" si="31"/>
        <v>-1.569698627706819</v>
      </c>
    </row>
    <row r="892" spans="2:8" x14ac:dyDescent="0.55000000000000004">
      <c r="B892" s="552" t="s">
        <v>1111</v>
      </c>
      <c r="C892" s="575">
        <f>C891/(Quarts!H233/1000)</f>
        <v>-0.15804605619701106</v>
      </c>
      <c r="D892" s="575">
        <f>D891/(Quarts!I233/1000)</f>
        <v>-0.1382299161739213</v>
      </c>
      <c r="E892" s="575">
        <f>E891/(Quarts!J233/1000)</f>
        <v>0.17414748245722023</v>
      </c>
      <c r="F892" s="575">
        <f>F891/(Quarts!K233/1000)</f>
        <v>-0.23118737280466703</v>
      </c>
      <c r="G892" s="575">
        <f>G891/(Quarts!M233/1000)</f>
        <v>-0.25065947107276987</v>
      </c>
      <c r="H892" s="575">
        <f>H891/(Quarts!N233/1000)</f>
        <v>-0.24229465100661404</v>
      </c>
    </row>
    <row r="893" spans="2:8" x14ac:dyDescent="0.55000000000000004">
      <c r="C893" s="580"/>
      <c r="D893" s="580"/>
      <c r="E893" s="580"/>
      <c r="F893" s="580"/>
      <c r="G893" s="580"/>
      <c r="H893" s="580"/>
    </row>
    <row r="894" spans="2:8" x14ac:dyDescent="0.55000000000000004">
      <c r="B894" s="552" t="s">
        <v>1109</v>
      </c>
      <c r="C894" s="567">
        <f>Quarts!H59</f>
        <v>115.69999999999999</v>
      </c>
      <c r="D894" s="567">
        <f>Quarts!I59</f>
        <v>166.40000000000003</v>
      </c>
      <c r="E894" s="567">
        <f>Quarts!J59</f>
        <v>223.89999999999998</v>
      </c>
      <c r="F894" s="567">
        <f>Quarts!K59</f>
        <v>226.88700000000006</v>
      </c>
      <c r="G894" s="567">
        <f>Quarts!M59</f>
        <v>294.09400000000005</v>
      </c>
      <c r="H894" s="567">
        <f>Quarts!N59</f>
        <v>363.53300000000013</v>
      </c>
    </row>
    <row r="895" spans="2:8" x14ac:dyDescent="0.55000000000000004">
      <c r="B895" s="552" t="s">
        <v>1112</v>
      </c>
      <c r="C895" s="575"/>
      <c r="D895" s="575">
        <f>D894/(AVERAGE(C889,D889)*1000)*4</f>
        <v>-69.406775548034517</v>
      </c>
      <c r="E895" s="575">
        <f>E894/(AVERAGE(D889,E889)*1000)*4</f>
        <v>1.1178425875291764</v>
      </c>
      <c r="F895" s="575">
        <f>F894/(AVERAGE(E889,F889)*1000)*4</f>
        <v>1.1418435921590091</v>
      </c>
      <c r="G895" s="575">
        <f>G894/(AVERAGE(F889,G889)*1000)*4</f>
        <v>12.127111193446312</v>
      </c>
      <c r="H895" s="575">
        <f>H894/(AVERAGE(G889,H889)*1000)*4</f>
        <v>13.818197841879174</v>
      </c>
    </row>
    <row r="898" spans="2:9" x14ac:dyDescent="0.55000000000000004">
      <c r="C898" s="552" t="s">
        <v>1120</v>
      </c>
      <c r="F898" s="567"/>
      <c r="G898" s="552" t="s">
        <v>1121</v>
      </c>
      <c r="H898" s="552"/>
    </row>
    <row r="899" spans="2:9" x14ac:dyDescent="0.55000000000000004">
      <c r="C899" s="552" t="s">
        <v>1118</v>
      </c>
      <c r="D899" s="552" t="s">
        <v>1119</v>
      </c>
      <c r="E899" s="552" t="s">
        <v>671</v>
      </c>
      <c r="F899" s="567"/>
      <c r="G899" s="552" t="s">
        <v>1118</v>
      </c>
      <c r="H899" s="552" t="s">
        <v>1119</v>
      </c>
      <c r="I899" s="552" t="s">
        <v>671</v>
      </c>
    </row>
    <row r="900" spans="2:9" x14ac:dyDescent="0.55000000000000004">
      <c r="B900" s="552" t="s">
        <v>691</v>
      </c>
      <c r="C900" s="611">
        <v>4.4999999999999998E-2</v>
      </c>
      <c r="D900" s="611">
        <v>4.2999999999999997E-2</v>
      </c>
      <c r="E900" s="611">
        <f t="shared" ref="E900:E910" si="32">C900-D900</f>
        <v>2.0000000000000018E-3</v>
      </c>
      <c r="G900" s="611">
        <v>2.1999999999999999E-2</v>
      </c>
      <c r="H900" s="611">
        <v>2.1999999999999999E-2</v>
      </c>
      <c r="I900" s="611">
        <f t="shared" ref="I900:I910" si="33">G900-H900</f>
        <v>0</v>
      </c>
    </row>
    <row r="901" spans="2:9" x14ac:dyDescent="0.55000000000000004">
      <c r="B901" s="552" t="s">
        <v>692</v>
      </c>
      <c r="C901" s="611">
        <v>0.05</v>
      </c>
      <c r="D901" s="611">
        <v>4.8000000000000001E-2</v>
      </c>
      <c r="E901" s="611">
        <f t="shared" si="32"/>
        <v>2.0000000000000018E-3</v>
      </c>
      <c r="G901" s="611">
        <v>3.4000000000000002E-2</v>
      </c>
      <c r="H901" s="611">
        <v>3.5000000000000003E-2</v>
      </c>
      <c r="I901" s="611">
        <f t="shared" si="33"/>
        <v>-1.0000000000000009E-3</v>
      </c>
    </row>
    <row r="902" spans="2:9" x14ac:dyDescent="0.55000000000000004">
      <c r="B902" s="552" t="s">
        <v>693</v>
      </c>
      <c r="C902" s="611">
        <v>6.2E-2</v>
      </c>
      <c r="D902" s="611">
        <v>6.0999999999999999E-2</v>
      </c>
      <c r="E902" s="611">
        <f t="shared" si="32"/>
        <v>1.0000000000000009E-3</v>
      </c>
      <c r="G902" s="611">
        <v>2.1999999999999999E-2</v>
      </c>
      <c r="H902" s="611">
        <v>2.1999999999999999E-2</v>
      </c>
      <c r="I902" s="611">
        <f t="shared" si="33"/>
        <v>0</v>
      </c>
    </row>
    <row r="903" spans="2:9" x14ac:dyDescent="0.55000000000000004">
      <c r="B903" s="552" t="s">
        <v>560</v>
      </c>
      <c r="C903" s="611">
        <v>5.1999999999999998E-2</v>
      </c>
      <c r="D903" s="611">
        <v>5.1999999999999998E-2</v>
      </c>
      <c r="E903" s="611">
        <f t="shared" si="32"/>
        <v>0</v>
      </c>
      <c r="G903" s="611">
        <v>1.2E-2</v>
      </c>
      <c r="H903" s="611">
        <v>1.2E-2</v>
      </c>
      <c r="I903" s="611">
        <f t="shared" si="33"/>
        <v>0</v>
      </c>
    </row>
    <row r="904" spans="2:9" x14ac:dyDescent="0.55000000000000004">
      <c r="B904" s="552" t="s">
        <v>672</v>
      </c>
      <c r="C904" s="611">
        <v>3.6999999999999998E-2</v>
      </c>
      <c r="D904" s="611">
        <v>3.5999999999999997E-2</v>
      </c>
      <c r="E904" s="611">
        <f t="shared" si="32"/>
        <v>1.0000000000000009E-3</v>
      </c>
      <c r="G904" s="611">
        <v>1.2999999999999999E-2</v>
      </c>
      <c r="H904" s="611">
        <v>1.2999999999999999E-2</v>
      </c>
      <c r="I904" s="611">
        <f t="shared" si="33"/>
        <v>0</v>
      </c>
    </row>
    <row r="905" spans="2:9" x14ac:dyDescent="0.55000000000000004">
      <c r="B905" s="552" t="s">
        <v>374</v>
      </c>
      <c r="C905" s="611">
        <v>0.03</v>
      </c>
      <c r="D905" s="611">
        <v>2.7E-2</v>
      </c>
      <c r="E905" s="611">
        <f t="shared" si="32"/>
        <v>2.9999999999999992E-3</v>
      </c>
      <c r="G905" s="611">
        <v>2.4E-2</v>
      </c>
      <c r="H905" s="611">
        <v>2.4E-2</v>
      </c>
      <c r="I905" s="611">
        <f t="shared" si="33"/>
        <v>0</v>
      </c>
    </row>
    <row r="906" spans="2:9" x14ac:dyDescent="0.55000000000000004">
      <c r="B906" s="552" t="s">
        <v>375</v>
      </c>
      <c r="C906" s="611">
        <v>0.03</v>
      </c>
      <c r="D906" s="611">
        <v>2.9000000000000001E-2</v>
      </c>
      <c r="E906" s="611">
        <f t="shared" si="32"/>
        <v>9.9999999999999742E-4</v>
      </c>
      <c r="G906" s="611">
        <v>2.1999999999999999E-2</v>
      </c>
      <c r="H906" s="611">
        <v>2.1999999999999999E-2</v>
      </c>
      <c r="I906" s="611">
        <f t="shared" si="33"/>
        <v>0</v>
      </c>
    </row>
    <row r="907" spans="2:9" x14ac:dyDescent="0.55000000000000004">
      <c r="B907" s="552" t="s">
        <v>376</v>
      </c>
      <c r="C907" s="611">
        <v>3.2000000000000001E-2</v>
      </c>
      <c r="D907" s="611">
        <v>3.4000000000000002E-2</v>
      </c>
      <c r="E907" s="611">
        <f t="shared" si="32"/>
        <v>-2.0000000000000018E-3</v>
      </c>
      <c r="G907" s="611">
        <v>2.3E-2</v>
      </c>
      <c r="H907" s="611">
        <v>2.3E-2</v>
      </c>
      <c r="I907" s="611">
        <f t="shared" si="33"/>
        <v>0</v>
      </c>
    </row>
    <row r="908" spans="2:9" x14ac:dyDescent="0.55000000000000004">
      <c r="B908" s="552" t="s">
        <v>670</v>
      </c>
      <c r="C908" s="611">
        <v>3.1E-2</v>
      </c>
      <c r="D908" s="611">
        <v>3.5000000000000003E-2</v>
      </c>
      <c r="E908" s="611">
        <f t="shared" si="32"/>
        <v>-4.0000000000000036E-3</v>
      </c>
      <c r="G908" s="611">
        <v>2.5999999999999999E-2</v>
      </c>
      <c r="H908" s="611">
        <v>2.5999999999999999E-2</v>
      </c>
      <c r="I908" s="611">
        <f t="shared" si="33"/>
        <v>0</v>
      </c>
    </row>
    <row r="909" spans="2:9" x14ac:dyDescent="0.55000000000000004">
      <c r="B909" s="552" t="s">
        <v>867</v>
      </c>
      <c r="C909" s="611">
        <v>3.5000000000000003E-2</v>
      </c>
      <c r="D909" s="611">
        <v>4.2000000000000003E-2</v>
      </c>
      <c r="E909" s="611">
        <f t="shared" si="32"/>
        <v>-6.9999999999999993E-3</v>
      </c>
      <c r="G909" s="611">
        <v>3.6999999999999998E-2</v>
      </c>
      <c r="H909" s="611">
        <v>3.6999999999999998E-2</v>
      </c>
      <c r="I909" s="611">
        <f t="shared" si="33"/>
        <v>0</v>
      </c>
    </row>
    <row r="910" spans="2:9" x14ac:dyDescent="0.55000000000000004">
      <c r="B910" s="552" t="s">
        <v>1007</v>
      </c>
      <c r="C910" s="611">
        <v>4.1000000000000002E-2</v>
      </c>
      <c r="D910" s="611">
        <v>5.3999999999999999E-2</v>
      </c>
      <c r="E910" s="611">
        <f t="shared" si="32"/>
        <v>-1.2999999999999998E-2</v>
      </c>
      <c r="G910" s="611">
        <v>3.6999999999999998E-2</v>
      </c>
      <c r="H910" s="611">
        <v>3.5999999999999997E-2</v>
      </c>
      <c r="I910" s="611">
        <f t="shared" si="33"/>
        <v>1.0000000000000009E-3</v>
      </c>
    </row>
    <row r="912" spans="2:9" x14ac:dyDescent="0.55000000000000004">
      <c r="B912" s="613" t="s">
        <v>1132</v>
      </c>
    </row>
    <row r="914" spans="2:8" x14ac:dyDescent="0.55000000000000004">
      <c r="B914" s="574" t="s">
        <v>156</v>
      </c>
      <c r="C914" s="579" t="s">
        <v>376</v>
      </c>
      <c r="D914" s="579" t="s">
        <v>670</v>
      </c>
      <c r="E914" s="579" t="s">
        <v>867</v>
      </c>
      <c r="F914" s="579" t="s">
        <v>1007</v>
      </c>
      <c r="G914" s="579" t="s">
        <v>1008</v>
      </c>
      <c r="H914" s="579" t="s">
        <v>1009</v>
      </c>
    </row>
    <row r="915" spans="2:8" x14ac:dyDescent="0.55000000000000004">
      <c r="B915" s="552" t="s">
        <v>1130</v>
      </c>
      <c r="C915" s="552">
        <f>Quarts!J340</f>
        <v>12.1</v>
      </c>
      <c r="D915" s="552">
        <f>Quarts!K340</f>
        <v>14.3</v>
      </c>
      <c r="E915" s="552">
        <f>Quarts!M340</f>
        <v>15.9</v>
      </c>
      <c r="F915" s="580">
        <f>Quarts!N340</f>
        <v>20</v>
      </c>
      <c r="G915" s="580">
        <f>Quarts!O340</f>
        <v>21.2</v>
      </c>
      <c r="H915" s="580">
        <f>Quarts!P340</f>
        <v>23.8</v>
      </c>
    </row>
    <row r="916" spans="2:8" x14ac:dyDescent="0.55000000000000004">
      <c r="F916" s="580"/>
    </row>
    <row r="917" spans="2:8" x14ac:dyDescent="0.55000000000000004">
      <c r="B917" s="552" t="s">
        <v>1129</v>
      </c>
      <c r="F917" s="552">
        <f>SUM(C915:F915)</f>
        <v>62.3</v>
      </c>
    </row>
    <row r="918" spans="2:8" x14ac:dyDescent="0.55000000000000004">
      <c r="B918" s="552" t="s">
        <v>1131</v>
      </c>
      <c r="F918" s="580">
        <f>F930/F932/1000</f>
        <v>18.459769714285713</v>
      </c>
    </row>
    <row r="919" spans="2:8" x14ac:dyDescent="0.55000000000000004">
      <c r="C919" s="575"/>
      <c r="D919" s="575"/>
      <c r="E919" s="575"/>
      <c r="F919" s="575">
        <f>F918/F917</f>
        <v>0.29630448979591834</v>
      </c>
    </row>
    <row r="921" spans="2:8" x14ac:dyDescent="0.55000000000000004">
      <c r="B921" s="702" t="s">
        <v>1133</v>
      </c>
    </row>
    <row r="922" spans="2:8" x14ac:dyDescent="0.55000000000000004">
      <c r="B922" s="552" t="s">
        <v>1126</v>
      </c>
      <c r="F922" s="755">
        <v>7.0000000000000007E-2</v>
      </c>
    </row>
    <row r="923" spans="2:8" x14ac:dyDescent="0.55000000000000004">
      <c r="B923" s="552" t="s">
        <v>1128</v>
      </c>
      <c r="F923" s="567">
        <f>F922*(Quarts!N$6+Quarts!M$6+Quarts!K$6+Quarts!J$6)</f>
        <v>220.61676000000003</v>
      </c>
    </row>
    <row r="924" spans="2:8" x14ac:dyDescent="0.55000000000000004">
      <c r="B924" s="552" t="s">
        <v>1182</v>
      </c>
      <c r="F924" s="575">
        <f>F923/(Quarts!J366+Quarts!M366+Quarts!N366+Quarts!O366)</f>
        <v>0.27982420358898646</v>
      </c>
    </row>
    <row r="925" spans="2:8" x14ac:dyDescent="0.55000000000000004">
      <c r="B925" s="552" t="s">
        <v>1140</v>
      </c>
      <c r="F925" s="834">
        <f>F923/F930*F932</f>
        <v>1.1951219512195124E-2</v>
      </c>
    </row>
    <row r="926" spans="2:8" x14ac:dyDescent="0.55000000000000004">
      <c r="F926" s="567"/>
    </row>
    <row r="927" spans="2:8" x14ac:dyDescent="0.55000000000000004">
      <c r="B927" s="552" t="s">
        <v>1124</v>
      </c>
      <c r="F927" s="755">
        <v>2.9000000000000001E-2</v>
      </c>
    </row>
    <row r="928" spans="2:8" x14ac:dyDescent="0.55000000000000004">
      <c r="B928" s="552" t="s">
        <v>1125</v>
      </c>
      <c r="F928" s="567">
        <f>F927*(Quarts!N$6+Quarts!M$6+Quarts!K$6+Quarts!J$6)</f>
        <v>91.398372000000009</v>
      </c>
    </row>
    <row r="930" spans="2:6" x14ac:dyDescent="0.55000000000000004">
      <c r="B930" s="552" t="s">
        <v>1138</v>
      </c>
      <c r="F930" s="567">
        <f>F923-F928</f>
        <v>129.218388</v>
      </c>
    </row>
    <row r="931" spans="2:6" x14ac:dyDescent="0.55000000000000004">
      <c r="B931" s="552" t="s">
        <v>1139</v>
      </c>
      <c r="F931" s="755">
        <f>F930/(Quarts!N$6+Quarts!M$6+Quarts!K$6+Quarts!J$6)</f>
        <v>4.1000000000000002E-2</v>
      </c>
    </row>
    <row r="932" spans="2:6" x14ac:dyDescent="0.55000000000000004">
      <c r="B932" s="552" t="s">
        <v>1127</v>
      </c>
      <c r="F932" s="834">
        <v>7.0000000000000001E-3</v>
      </c>
    </row>
    <row r="934" spans="2:6" x14ac:dyDescent="0.55000000000000004">
      <c r="B934" s="702" t="s">
        <v>1137</v>
      </c>
    </row>
    <row r="935" spans="2:6" x14ac:dyDescent="0.55000000000000004">
      <c r="B935" s="552" t="s">
        <v>1136</v>
      </c>
      <c r="C935" s="580">
        <f>C915*$F$919</f>
        <v>3.5852843265306116</v>
      </c>
      <c r="D935" s="580">
        <f>D915*$F$919</f>
        <v>4.2371542040816328</v>
      </c>
      <c r="E935" s="580">
        <f>E915*$F$919</f>
        <v>4.711241387755102</v>
      </c>
      <c r="F935" s="580">
        <f>F915*$F$919</f>
        <v>5.9260897959183669</v>
      </c>
    </row>
    <row r="936" spans="2:6" x14ac:dyDescent="0.55000000000000004">
      <c r="B936" s="552" t="s">
        <v>1134</v>
      </c>
      <c r="C936" s="611">
        <f>D936</f>
        <v>4.9512195121951237E-3</v>
      </c>
      <c r="D936" s="611">
        <f>E936</f>
        <v>4.9512195121951237E-3</v>
      </c>
      <c r="E936" s="611">
        <f>F936</f>
        <v>4.9512195121951237E-3</v>
      </c>
      <c r="F936" s="611">
        <f>F925-F932</f>
        <v>4.9512195121951237E-3</v>
      </c>
    </row>
    <row r="937" spans="2:6" x14ac:dyDescent="0.55000000000000004">
      <c r="B937" s="552" t="s">
        <v>1135</v>
      </c>
      <c r="C937" s="567">
        <f>C936*C935*1000</f>
        <v>17.751529714285716</v>
      </c>
      <c r="D937" s="567">
        <f>D936*D935*1000</f>
        <v>20.979080571428579</v>
      </c>
      <c r="E937" s="567">
        <f>E936*E935*1000</f>
        <v>23.326390285714297</v>
      </c>
      <c r="F937" s="567">
        <f>F936*F935*1000</f>
        <v>29.341371428571438</v>
      </c>
    </row>
    <row r="938" spans="2:6" x14ac:dyDescent="0.55000000000000004">
      <c r="B938" s="552" t="s">
        <v>566</v>
      </c>
      <c r="C938" s="611">
        <f>C937/Quarts!J6</f>
        <v>3.6913141431244995E-2</v>
      </c>
      <c r="D938" s="611">
        <f>D937/Quarts!K6</f>
        <v>3.2989087919345503E-2</v>
      </c>
      <c r="E938" s="611">
        <f>E937/Quarts!M6</f>
        <v>2.658984127490752E-2</v>
      </c>
      <c r="F938" s="611">
        <f>F937/Quarts!N6</f>
        <v>2.5347581188871631E-2</v>
      </c>
    </row>
    <row r="940" spans="2:6" x14ac:dyDescent="0.55000000000000004">
      <c r="B940" s="552" t="s">
        <v>1145</v>
      </c>
      <c r="C940" s="611">
        <f>C937/Quarts!J59</f>
        <v>7.9283294838256899E-2</v>
      </c>
      <c r="D940" s="611">
        <f>D937/Quarts!K59</f>
        <v>9.2464885918666889E-2</v>
      </c>
      <c r="E940" s="611">
        <f>E937/Quarts!M59</f>
        <v>7.9316103986189088E-2</v>
      </c>
      <c r="F940" s="611">
        <f>F937/Quarts!N59</f>
        <v>8.0711713733200088E-2</v>
      </c>
    </row>
    <row r="942" spans="2:6" x14ac:dyDescent="0.55000000000000004">
      <c r="C942" s="613"/>
      <c r="D942" s="614" t="s">
        <v>1146</v>
      </c>
      <c r="E942" s="614" t="s">
        <v>1147</v>
      </c>
    </row>
    <row r="943" spans="2:6" x14ac:dyDescent="0.55000000000000004">
      <c r="B943" s="835" t="s">
        <v>521</v>
      </c>
      <c r="C943" s="552" t="s">
        <v>921</v>
      </c>
      <c r="D943" s="836">
        <v>500</v>
      </c>
      <c r="E943" s="836">
        <f>D943-450</f>
        <v>50</v>
      </c>
    </row>
    <row r="944" spans="2:6" x14ac:dyDescent="0.55000000000000004">
      <c r="B944" s="835"/>
      <c r="C944" s="552" t="s">
        <v>449</v>
      </c>
      <c r="D944" s="836">
        <v>1000</v>
      </c>
      <c r="E944" s="836">
        <f>D944-450</f>
        <v>550</v>
      </c>
    </row>
    <row r="945" spans="2:14" x14ac:dyDescent="0.55000000000000004">
      <c r="B945" s="835"/>
      <c r="D945" s="837">
        <f>D943/D944</f>
        <v>0.5</v>
      </c>
      <c r="E945" s="837">
        <f>E943/E944</f>
        <v>9.0909090909090912E-2</v>
      </c>
    </row>
    <row r="948" spans="2:14" x14ac:dyDescent="0.55000000000000004">
      <c r="C948" s="935" t="str">
        <f>Quarts!M2</f>
        <v>Q1 22</v>
      </c>
      <c r="D948" s="935" t="str">
        <f>Quarts!N2</f>
        <v>Q2 22</v>
      </c>
      <c r="E948" s="935" t="str">
        <f>Quarts!O2</f>
        <v>Q3 22</v>
      </c>
      <c r="F948" s="935" t="str">
        <f>Quarts!P2</f>
        <v>Q4 22</v>
      </c>
      <c r="G948" s="935" t="str">
        <f>Quarts!R2</f>
        <v>Q1 23</v>
      </c>
      <c r="H948" s="935" t="str">
        <f>Quarts!S2</f>
        <v>Q2 23</v>
      </c>
      <c r="I948" s="935" t="e">
        <f>Quarts!#REF!</f>
        <v>#REF!</v>
      </c>
      <c r="J948" s="935" t="e">
        <f>Quarts!#REF!</f>
        <v>#REF!</v>
      </c>
      <c r="K948" s="935" t="str">
        <f>Quarts!W2</f>
        <v>Q1 24</v>
      </c>
      <c r="L948" s="935" t="e">
        <f>Quarts!#REF!</f>
        <v>#REF!</v>
      </c>
      <c r="M948" s="935" t="str">
        <f>Quarts!Y2</f>
        <v>Q3 24E</v>
      </c>
      <c r="N948" s="935" t="str">
        <f>Quarts!Z2</f>
        <v>Q4 24E</v>
      </c>
    </row>
    <row r="949" spans="2:14" x14ac:dyDescent="0.55000000000000004">
      <c r="B949" s="552" t="str">
        <f>Quarts!B233</f>
        <v>Credit cards</v>
      </c>
      <c r="C949" s="568">
        <f>Quarts!M245</f>
        <v>6814.4089999999997</v>
      </c>
      <c r="D949" s="568">
        <f>Quarts!N245</f>
        <v>7175.817</v>
      </c>
      <c r="E949" s="568">
        <f>Quarts!O245</f>
        <v>7812.2719999999999</v>
      </c>
      <c r="F949" s="568">
        <f>Quarts!P245</f>
        <v>9284</v>
      </c>
      <c r="G949" s="568">
        <f>Quarts!R245</f>
        <v>10474</v>
      </c>
      <c r="H949" s="568">
        <f>Quarts!S245</f>
        <v>12062</v>
      </c>
      <c r="I949" s="568" t="e">
        <f>Quarts!#REF!</f>
        <v>#REF!</v>
      </c>
      <c r="J949" s="568" t="e">
        <f>Quarts!#REF!</f>
        <v>#REF!</v>
      </c>
      <c r="K949" s="568">
        <f>Quarts!W245</f>
        <v>15093.7</v>
      </c>
      <c r="L949" s="568" t="e">
        <f>Quarts!#REF!</f>
        <v>#REF!</v>
      </c>
      <c r="M949" s="568">
        <f>Quarts!Y245</f>
        <v>15417.950216450216</v>
      </c>
      <c r="N949" s="568">
        <f>Quarts!Z245</f>
        <v>16254.035549960725</v>
      </c>
    </row>
    <row r="950" spans="2:14" x14ac:dyDescent="0.55000000000000004">
      <c r="B950" s="552" t="str">
        <f>Quarts!B234</f>
        <v>Personal loans</v>
      </c>
      <c r="C950" s="568">
        <f>Quarts!M246</f>
        <v>2007.5</v>
      </c>
      <c r="D950" s="568">
        <f>Quarts!N246</f>
        <v>1946.0530000000001</v>
      </c>
      <c r="E950" s="568">
        <f>Quarts!O246</f>
        <v>1904.7350000000001</v>
      </c>
      <c r="F950" s="568">
        <f>Quarts!P246</f>
        <v>1973</v>
      </c>
      <c r="G950" s="568">
        <f>Quarts!R246</f>
        <v>2336</v>
      </c>
      <c r="H950" s="568">
        <f>Quarts!S246</f>
        <v>2792</v>
      </c>
      <c r="I950" s="568" t="e">
        <f>Quarts!#REF!</f>
        <v>#REF!</v>
      </c>
      <c r="J950" s="568" t="e">
        <f>Quarts!#REF!</f>
        <v>#REF!</v>
      </c>
      <c r="K950" s="568">
        <f>Quarts!W246</f>
        <v>4479</v>
      </c>
      <c r="L950" s="568" t="e">
        <f>Quarts!#REF!</f>
        <v>#REF!</v>
      </c>
      <c r="M950" s="568">
        <f>Quarts!Y246</f>
        <v>5370.9767441860467</v>
      </c>
      <c r="N950" s="568">
        <f>Quarts!Z246</f>
        <v>6018.3477121320338</v>
      </c>
    </row>
    <row r="951" spans="2:14" x14ac:dyDescent="0.55000000000000004">
      <c r="B951" s="552" t="str">
        <f>Quarts!B235</f>
        <v>Payroll</v>
      </c>
      <c r="C951" s="568"/>
      <c r="D951" s="568"/>
      <c r="E951" s="568"/>
      <c r="F951" s="568"/>
      <c r="G951" s="568"/>
      <c r="I951" s="568" t="e">
        <f>Quarts!#REF!</f>
        <v>#REF!</v>
      </c>
      <c r="J951" s="568" t="e">
        <f>Quarts!#REF!</f>
        <v>#REF!</v>
      </c>
      <c r="K951" s="568">
        <f>Quarts!W247</f>
        <v>0</v>
      </c>
      <c r="L951" s="568" t="e">
        <f>Quarts!#REF!</f>
        <v>#REF!</v>
      </c>
      <c r="M951" s="568">
        <f>Quarts!Y247</f>
        <v>63.636363636363633</v>
      </c>
      <c r="N951" s="568">
        <f>Quarts!Z247</f>
        <v>160.2355503920999</v>
      </c>
    </row>
    <row r="952" spans="2:14" x14ac:dyDescent="0.55000000000000004">
      <c r="C952" s="568"/>
      <c r="D952" s="568"/>
      <c r="E952" s="568">
        <f>SUM(E949:E951)</f>
        <v>9717.0069999999996</v>
      </c>
      <c r="F952" s="568"/>
      <c r="G952" s="568"/>
      <c r="I952" s="568" t="e">
        <f>SUM(I949:I951)</f>
        <v>#REF!</v>
      </c>
      <c r="J952" s="568"/>
      <c r="K952" s="568"/>
      <c r="L952" s="568"/>
      <c r="M952" s="568">
        <f>SUM(M949:M951)</f>
        <v>20852.563324272625</v>
      </c>
      <c r="N952" s="568"/>
    </row>
    <row r="953" spans="2:14" x14ac:dyDescent="0.55000000000000004">
      <c r="C953" s="568"/>
      <c r="D953" s="568"/>
      <c r="E953" s="568"/>
      <c r="F953" s="568"/>
      <c r="G953" s="568"/>
      <c r="I953" s="575" t="e">
        <f>I952/E952-1</f>
        <v>#REF!</v>
      </c>
      <c r="J953" s="568"/>
      <c r="K953" s="568"/>
      <c r="L953" s="568"/>
      <c r="M953" s="575" t="e">
        <f>M952/I952-1</f>
        <v>#REF!</v>
      </c>
      <c r="N953" s="575"/>
    </row>
    <row r="954" spans="2:14" x14ac:dyDescent="0.55000000000000004">
      <c r="G954" s="552"/>
    </row>
    <row r="955" spans="2:14" x14ac:dyDescent="0.55000000000000004">
      <c r="C955" s="935" t="str">
        <f t="shared" ref="C955:F955" si="34">C948</f>
        <v>Q1 22</v>
      </c>
      <c r="D955" s="935" t="str">
        <f t="shared" si="34"/>
        <v>Q2 22</v>
      </c>
      <c r="E955" s="935" t="str">
        <f t="shared" si="34"/>
        <v>Q3 22</v>
      </c>
      <c r="F955" s="935" t="str">
        <f t="shared" si="34"/>
        <v>Q4 22</v>
      </c>
      <c r="G955" s="935" t="str">
        <f t="shared" ref="G955" si="35">G948</f>
        <v>Q1 23</v>
      </c>
      <c r="I955" s="935" t="e">
        <f t="shared" ref="I955:N955" si="36">I948</f>
        <v>#REF!</v>
      </c>
      <c r="J955" s="935" t="e">
        <f t="shared" si="36"/>
        <v>#REF!</v>
      </c>
      <c r="K955" s="935" t="str">
        <f t="shared" si="36"/>
        <v>Q1 24</v>
      </c>
      <c r="L955" s="935" t="e">
        <f t="shared" si="36"/>
        <v>#REF!</v>
      </c>
      <c r="M955" s="935" t="str">
        <f t="shared" si="36"/>
        <v>Q3 24E</v>
      </c>
      <c r="N955" s="935" t="str">
        <f t="shared" si="36"/>
        <v>Q4 24E</v>
      </c>
    </row>
    <row r="956" spans="2:14" x14ac:dyDescent="0.55000000000000004">
      <c r="B956" s="552" t="s">
        <v>24</v>
      </c>
      <c r="C956" s="567">
        <f>Quarts!M99</f>
        <v>-45.003999999999976</v>
      </c>
      <c r="D956" s="567">
        <f>Quarts!N99</f>
        <v>-29.849999999999852</v>
      </c>
      <c r="E956" s="567">
        <f>Quarts!O99</f>
        <v>7.8260000000000787</v>
      </c>
      <c r="F956" s="567">
        <f>Quarts!P99</f>
        <v>-296.87200000000013</v>
      </c>
      <c r="G956" s="567">
        <f>Quarts!R99</f>
        <v>143.33299999999997</v>
      </c>
      <c r="I956" s="567" t="e">
        <f>Quarts!#REF!</f>
        <v>#REF!</v>
      </c>
      <c r="J956" s="567" t="e">
        <f>Quarts!#REF!</f>
        <v>#REF!</v>
      </c>
      <c r="K956" s="567">
        <f>Quarts!W99</f>
        <v>379.1</v>
      </c>
      <c r="L956" s="567" t="e">
        <f>Quarts!#REF!</f>
        <v>#REF!</v>
      </c>
      <c r="M956" s="567">
        <f>Quarts!Y99</f>
        <v>543.98850959894253</v>
      </c>
      <c r="N956" s="567">
        <f>Quarts!Z99</f>
        <v>529.23104583525446</v>
      </c>
    </row>
    <row r="957" spans="2:14" x14ac:dyDescent="0.55000000000000004">
      <c r="B957" s="552" t="s">
        <v>1440</v>
      </c>
      <c r="C957" s="567"/>
      <c r="D957" s="567"/>
      <c r="E957" s="567"/>
      <c r="F957" s="567"/>
      <c r="I957" s="567" t="e">
        <f>Quarts!#REF!</f>
        <v>#REF!</v>
      </c>
      <c r="J957" s="567" t="e">
        <f>Quarts!#REF!</f>
        <v>#REF!</v>
      </c>
      <c r="K957" s="567">
        <f>Quarts!W104</f>
        <v>442.7</v>
      </c>
      <c r="L957" s="567" t="e">
        <f>Quarts!#REF!</f>
        <v>#REF!</v>
      </c>
      <c r="M957" s="567">
        <f>Quarts!Y104</f>
        <v>603.98850959894253</v>
      </c>
      <c r="N957" s="567">
        <f>Quarts!Z104</f>
        <v>577.38104583525478</v>
      </c>
    </row>
    <row r="958" spans="2:14" x14ac:dyDescent="0.55000000000000004">
      <c r="B958" s="552" t="s">
        <v>228</v>
      </c>
      <c r="C958" s="567">
        <f>Quarts!M106</f>
        <v>12.6</v>
      </c>
      <c r="D958" s="567">
        <f>Quarts!N106</f>
        <v>47.6</v>
      </c>
      <c r="E958" s="567">
        <f>Quarts!O106</f>
        <v>64.099999999999994</v>
      </c>
      <c r="F958" s="567">
        <f>Quarts!P106</f>
        <v>157.69999999999999</v>
      </c>
    </row>
    <row r="959" spans="2:14" x14ac:dyDescent="0.55000000000000004">
      <c r="B959" s="552" t="s">
        <v>1445</v>
      </c>
      <c r="C959" s="567">
        <f>Quarts!M107</f>
        <v>-2.5</v>
      </c>
      <c r="D959" s="567">
        <f>Quarts!N107</f>
        <v>-30.6</v>
      </c>
      <c r="E959" s="567">
        <f>Quarts!O107</f>
        <v>8.9000000000000057</v>
      </c>
      <c r="F959" s="567">
        <f>Quarts!P107</f>
        <v>-43.699999999999989</v>
      </c>
    </row>
    <row r="961" spans="2:6" x14ac:dyDescent="0.55000000000000004">
      <c r="C961" s="567"/>
      <c r="D961" s="567"/>
      <c r="E961" s="567"/>
      <c r="F961" s="567"/>
    </row>
    <row r="962" spans="2:6" x14ac:dyDescent="0.55000000000000004">
      <c r="B962" s="552" t="s">
        <v>1745</v>
      </c>
      <c r="C962" s="575">
        <v>1.2</v>
      </c>
    </row>
    <row r="963" spans="2:6" x14ac:dyDescent="0.55000000000000004">
      <c r="B963" s="552" t="s">
        <v>180</v>
      </c>
      <c r="C963" s="575">
        <v>0.8</v>
      </c>
    </row>
    <row r="964" spans="2:6" x14ac:dyDescent="0.55000000000000004">
      <c r="B964" s="552" t="s">
        <v>419</v>
      </c>
      <c r="C964" s="575">
        <v>0.3</v>
      </c>
    </row>
    <row r="982" spans="2:4" x14ac:dyDescent="0.55000000000000004">
      <c r="B982" s="552" t="s">
        <v>1446</v>
      </c>
      <c r="D982" s="575">
        <v>0.11</v>
      </c>
    </row>
    <row r="983" spans="2:4" x14ac:dyDescent="0.55000000000000004">
      <c r="B983" s="552" t="s">
        <v>1447</v>
      </c>
      <c r="C983" s="575">
        <f>D982</f>
        <v>0.11</v>
      </c>
      <c r="D983" s="575">
        <v>0.16</v>
      </c>
    </row>
    <row r="984" spans="2:4" x14ac:dyDescent="0.55000000000000004">
      <c r="B984" s="552" t="s">
        <v>520</v>
      </c>
      <c r="C984" s="575">
        <f>C983+D983</f>
        <v>0.27</v>
      </c>
      <c r="D984" s="575">
        <v>0</v>
      </c>
    </row>
    <row r="985" spans="2:4" x14ac:dyDescent="0.55000000000000004">
      <c r="B985" s="552" t="s">
        <v>1448</v>
      </c>
      <c r="C985" s="575">
        <f>C984+D984-D985</f>
        <v>0.16000000000000003</v>
      </c>
      <c r="D985" s="575">
        <v>0.11</v>
      </c>
    </row>
    <row r="986" spans="2:4" x14ac:dyDescent="0.55000000000000004">
      <c r="B986" s="552" t="s">
        <v>1449</v>
      </c>
      <c r="D986" s="575">
        <v>0.16</v>
      </c>
    </row>
    <row r="1000" spans="2:4" x14ac:dyDescent="0.55000000000000004">
      <c r="B1000" s="552" t="s">
        <v>1446</v>
      </c>
      <c r="D1000" s="575">
        <v>0</v>
      </c>
    </row>
    <row r="1001" spans="2:4" x14ac:dyDescent="0.55000000000000004">
      <c r="B1001" s="552" t="s">
        <v>1447</v>
      </c>
      <c r="C1001" s="575">
        <f>D1000</f>
        <v>0</v>
      </c>
      <c r="D1001" s="575">
        <v>0.57999999999999996</v>
      </c>
    </row>
    <row r="1002" spans="2:4" x14ac:dyDescent="0.55000000000000004">
      <c r="B1002" s="552" t="s">
        <v>520</v>
      </c>
      <c r="C1002" s="575">
        <f>C1001+D1001-D1002</f>
        <v>0.44249999999999995</v>
      </c>
      <c r="D1002" s="575">
        <v>0.13750000000000001</v>
      </c>
    </row>
    <row r="1003" spans="2:4" x14ac:dyDescent="0.55000000000000004">
      <c r="B1003" s="552" t="s">
        <v>1448</v>
      </c>
      <c r="C1003" s="575">
        <f>C1002-D1003</f>
        <v>0.22249999999999995</v>
      </c>
      <c r="D1003" s="575">
        <v>0.22</v>
      </c>
    </row>
    <row r="1004" spans="2:4" x14ac:dyDescent="0.55000000000000004">
      <c r="B1004" s="552" t="s">
        <v>1451</v>
      </c>
      <c r="D1004" s="575">
        <v>0.22</v>
      </c>
    </row>
    <row r="1018" spans="2:4" x14ac:dyDescent="0.55000000000000004">
      <c r="B1018" s="552" t="s">
        <v>1446</v>
      </c>
      <c r="D1018" s="575">
        <v>0</v>
      </c>
    </row>
    <row r="1019" spans="2:4" x14ac:dyDescent="0.55000000000000004">
      <c r="B1019" s="552" t="s">
        <v>1447</v>
      </c>
      <c r="C1019" s="575">
        <f>D1018</f>
        <v>0</v>
      </c>
      <c r="D1019" s="575">
        <f>1.97%*12</f>
        <v>0.2364</v>
      </c>
    </row>
    <row r="1020" spans="2:4" x14ac:dyDescent="0.55000000000000004">
      <c r="B1020" s="552" t="s">
        <v>520</v>
      </c>
      <c r="C1020" s="575">
        <f>C1019+D1019-D1020</f>
        <v>9.8899999999999988E-2</v>
      </c>
      <c r="D1020" s="575">
        <v>0.13750000000000001</v>
      </c>
    </row>
    <row r="1021" spans="2:4" x14ac:dyDescent="0.55000000000000004">
      <c r="B1021" s="552" t="s">
        <v>1448</v>
      </c>
      <c r="C1021" s="575">
        <f>C1020-D1021</f>
        <v>6.8899999999999989E-2</v>
      </c>
      <c r="D1021" s="575">
        <v>0.03</v>
      </c>
    </row>
    <row r="1022" spans="2:4" x14ac:dyDescent="0.55000000000000004">
      <c r="B1022" s="552" t="s">
        <v>1450</v>
      </c>
      <c r="D1022" s="575">
        <f>D1019-D1020-D1021</f>
        <v>6.8899999999999989E-2</v>
      </c>
    </row>
    <row r="1035" spans="2:14" x14ac:dyDescent="0.55000000000000004">
      <c r="B1035" s="613" t="s">
        <v>1615</v>
      </c>
    </row>
    <row r="1036" spans="2:14" x14ac:dyDescent="0.55000000000000004">
      <c r="B1036" s="613" t="s">
        <v>1717</v>
      </c>
    </row>
    <row r="1037" spans="2:14" x14ac:dyDescent="0.55000000000000004">
      <c r="B1037" s="613"/>
    </row>
    <row r="1038" spans="2:14" x14ac:dyDescent="0.55000000000000004">
      <c r="B1038" s="574" t="s">
        <v>156</v>
      </c>
      <c r="C1038" s="579" t="s">
        <v>1014</v>
      </c>
      <c r="D1038" s="579" t="s">
        <v>1015</v>
      </c>
    </row>
    <row r="1039" spans="2:14" x14ac:dyDescent="0.55000000000000004">
      <c r="B1039" s="1078" t="str">
        <f>B1046</f>
        <v>Non-interest bearing</v>
      </c>
      <c r="C1039" s="1079">
        <f>C1042-C1040-C1041</f>
        <v>7300</v>
      </c>
      <c r="D1039" s="1079">
        <f>D1042-D1040-D1041</f>
        <v>8100</v>
      </c>
      <c r="G1039" s="567" t="s">
        <v>575</v>
      </c>
      <c r="N1039" s="568"/>
    </row>
    <row r="1040" spans="2:14" x14ac:dyDescent="0.55000000000000004">
      <c r="B1040" s="552" t="str">
        <f>B1047</f>
        <v>Revolving in Brazil</v>
      </c>
      <c r="C1040" s="568">
        <v>700</v>
      </c>
      <c r="D1040" s="568">
        <v>800</v>
      </c>
      <c r="E1040" s="567"/>
      <c r="F1040" s="567"/>
      <c r="N1040" s="568"/>
    </row>
    <row r="1041" spans="2:14" x14ac:dyDescent="0.55000000000000004">
      <c r="B1041" s="1111" t="str">
        <f>B1048</f>
        <v>Instalment with interest</v>
      </c>
      <c r="C1041" s="1112">
        <v>1500</v>
      </c>
      <c r="D1041" s="1112">
        <v>2000</v>
      </c>
      <c r="E1041" s="567"/>
      <c r="F1041" s="567"/>
      <c r="N1041" s="568"/>
    </row>
    <row r="1042" spans="2:14" x14ac:dyDescent="0.55000000000000004">
      <c r="B1042" s="567" t="s">
        <v>1718</v>
      </c>
      <c r="C1042" s="568">
        <v>9500</v>
      </c>
      <c r="D1042" s="568">
        <v>10900</v>
      </c>
      <c r="E1042" s="567"/>
      <c r="F1042" s="567"/>
      <c r="N1042" s="568"/>
    </row>
    <row r="1043" spans="2:14" x14ac:dyDescent="0.55000000000000004">
      <c r="B1043" s="1080" t="s">
        <v>1716</v>
      </c>
      <c r="C1043" s="1079">
        <f>Quarts!R245</f>
        <v>10474</v>
      </c>
      <c r="D1043" s="1079">
        <f>Quarts!S245</f>
        <v>12062</v>
      </c>
      <c r="E1043" s="567"/>
      <c r="F1043" s="567"/>
      <c r="N1043" s="568"/>
    </row>
    <row r="1044" spans="2:14" x14ac:dyDescent="0.55000000000000004">
      <c r="B1044" s="567"/>
      <c r="C1044" s="568"/>
      <c r="D1044" s="568"/>
      <c r="E1044" s="567"/>
      <c r="F1044" s="567"/>
      <c r="N1044" s="568"/>
    </row>
    <row r="1045" spans="2:14" x14ac:dyDescent="0.55000000000000004">
      <c r="B1045" s="1116" t="s">
        <v>1721</v>
      </c>
      <c r="C1045" s="1079"/>
      <c r="D1045" s="1079"/>
      <c r="E1045" s="567"/>
      <c r="F1045" s="567"/>
      <c r="N1045" s="568"/>
    </row>
    <row r="1046" spans="2:14" x14ac:dyDescent="0.55000000000000004">
      <c r="B1046" s="552" t="s">
        <v>1466</v>
      </c>
      <c r="C1046" s="575">
        <f t="shared" ref="C1046:D1048" si="37">C1039/C$1042</f>
        <v>0.76842105263157889</v>
      </c>
      <c r="D1046" s="575">
        <f t="shared" si="37"/>
        <v>0.74311926605504586</v>
      </c>
      <c r="N1046" s="552"/>
    </row>
    <row r="1047" spans="2:14" x14ac:dyDescent="0.55000000000000004">
      <c r="B1047" s="1078" t="s">
        <v>1692</v>
      </c>
      <c r="C1047" s="1113">
        <f t="shared" si="37"/>
        <v>7.3684210526315783E-2</v>
      </c>
      <c r="D1047" s="1113">
        <f t="shared" si="37"/>
        <v>7.3394495412844041E-2</v>
      </c>
      <c r="N1047" s="568"/>
    </row>
    <row r="1048" spans="2:14" x14ac:dyDescent="0.55000000000000004">
      <c r="B1048" s="552" t="s">
        <v>1694</v>
      </c>
      <c r="C1048" s="575">
        <f t="shared" si="37"/>
        <v>0.15789473684210525</v>
      </c>
      <c r="D1048" s="575">
        <f t="shared" si="37"/>
        <v>0.1834862385321101</v>
      </c>
      <c r="N1048" s="568"/>
    </row>
    <row r="1049" spans="2:14" x14ac:dyDescent="0.55000000000000004">
      <c r="B1049" s="1080"/>
      <c r="C1049" s="1080"/>
      <c r="D1049" s="1080"/>
      <c r="E1049" s="567"/>
      <c r="F1049" s="567"/>
      <c r="N1049" s="575"/>
    </row>
    <row r="1050" spans="2:14" x14ac:dyDescent="0.55000000000000004">
      <c r="B1050" s="616" t="s">
        <v>1613</v>
      </c>
      <c r="C1050" s="574"/>
      <c r="D1050" s="609" t="s">
        <v>1693</v>
      </c>
      <c r="E1050" s="567"/>
      <c r="F1050" s="1092" t="s">
        <v>1621</v>
      </c>
    </row>
    <row r="1051" spans="2:14" x14ac:dyDescent="0.55000000000000004">
      <c r="B1051" s="1080" t="str">
        <f>B1039</f>
        <v>Non-interest bearing</v>
      </c>
      <c r="C1051" s="1078"/>
      <c r="D1051" s="1113">
        <v>0</v>
      </c>
      <c r="E1051" s="567"/>
      <c r="F1051" s="567"/>
    </row>
    <row r="1052" spans="2:14" x14ac:dyDescent="0.55000000000000004">
      <c r="B1052" s="567" t="str">
        <f>B1040</f>
        <v>Revolving in Brazil</v>
      </c>
      <c r="D1052" s="575">
        <f>13.3%*3</f>
        <v>0.39900000000000002</v>
      </c>
      <c r="E1052" s="567"/>
      <c r="F1052" s="575">
        <f>D1052/12</f>
        <v>3.3250000000000002E-2</v>
      </c>
    </row>
    <row r="1053" spans="2:14" x14ac:dyDescent="0.55000000000000004">
      <c r="B1053" s="1114" t="str">
        <f>B1041</f>
        <v>Instalment with interest</v>
      </c>
      <c r="C1053" s="1111"/>
      <c r="D1053" s="1115">
        <f>D1059/AVERAGE(C1041,D1041)</f>
        <v>0.23234451654546742</v>
      </c>
      <c r="E1053" s="567"/>
      <c r="F1053" s="575">
        <f>D1053/12</f>
        <v>1.9362043045455617E-2</v>
      </c>
      <c r="I1053" s="1120">
        <v>1</v>
      </c>
      <c r="J1053" s="1120">
        <f>I1053*1.133^12</f>
        <v>4.474648425696949</v>
      </c>
    </row>
    <row r="1054" spans="2:14" x14ac:dyDescent="0.55000000000000004">
      <c r="B1054" s="567" t="s">
        <v>1614</v>
      </c>
      <c r="C1054" s="567"/>
      <c r="D1054" s="575">
        <f>D1060/AVERAGE(C1042,D1042)</f>
        <v>5.262516215240863E-2</v>
      </c>
      <c r="E1054" s="567"/>
      <c r="F1054" s="567"/>
    </row>
    <row r="1055" spans="2:14" x14ac:dyDescent="0.55000000000000004">
      <c r="B1055" s="1080"/>
      <c r="C1055" s="1080"/>
      <c r="D1055" s="1080"/>
      <c r="E1055" s="567"/>
      <c r="F1055" s="567"/>
      <c r="I1055" s="567">
        <v>100</v>
      </c>
      <c r="J1055" s="567">
        <f>I1055*1.133</f>
        <v>113.3</v>
      </c>
    </row>
    <row r="1056" spans="2:14" x14ac:dyDescent="0.55000000000000004">
      <c r="B1056" s="616" t="s">
        <v>414</v>
      </c>
      <c r="C1056" s="608"/>
      <c r="D1056" s="608"/>
      <c r="E1056" s="567"/>
      <c r="F1056" s="567"/>
      <c r="J1056" s="567">
        <f>J1055*(1.095)^6</f>
        <v>195.30556803591185</v>
      </c>
    </row>
    <row r="1057" spans="2:10" ht="15.6" thickBot="1" x14ac:dyDescent="0.6">
      <c r="B1057" s="1080" t="str">
        <f>B1051</f>
        <v>Non-interest bearing</v>
      </c>
      <c r="C1057" s="1078"/>
      <c r="D1057" s="1080">
        <f>D1051*AVERAGE(C1039,D1039)</f>
        <v>0</v>
      </c>
      <c r="E1057" s="567"/>
      <c r="F1057" s="567"/>
      <c r="J1057" s="567">
        <f>J1056-I1055</f>
        <v>95.305568035911847</v>
      </c>
    </row>
    <row r="1058" spans="2:10" ht="15.6" thickBot="1" x14ac:dyDescent="0.6">
      <c r="B1058" s="1117" t="str">
        <f>B1052</f>
        <v>Revolving in Brazil</v>
      </c>
      <c r="C1058" s="1118"/>
      <c r="D1058" s="1119">
        <f>D1052*AVERAGE(C1040,D1040)*0.435</f>
        <v>130.17375000000001</v>
      </c>
      <c r="E1058" s="575">
        <f>D1058/Quarts!S6</f>
        <v>6.9663785721930868E-2</v>
      </c>
      <c r="F1058" s="575">
        <f>D1058*0.7/Quarts!S99</f>
        <v>0.40679296875000004</v>
      </c>
    </row>
    <row r="1059" spans="2:10" x14ac:dyDescent="0.55000000000000004">
      <c r="B1059" s="1114" t="str">
        <f>B1053</f>
        <v>Instalment with interest</v>
      </c>
      <c r="C1059" s="1111"/>
      <c r="D1059" s="1114">
        <f>D1060-D1057-D1058</f>
        <v>406.60290395456798</v>
      </c>
      <c r="E1059" s="575"/>
      <c r="F1059" s="567"/>
    </row>
    <row r="1060" spans="2:10" x14ac:dyDescent="0.55000000000000004">
      <c r="B1060" s="567" t="s">
        <v>1720</v>
      </c>
      <c r="D1060" s="567">
        <f>D1042/D1043*D1061</f>
        <v>536.77665395456802</v>
      </c>
      <c r="E1060" s="567"/>
      <c r="F1060" s="567"/>
    </row>
    <row r="1061" spans="2:10" x14ac:dyDescent="0.55000000000000004">
      <c r="B1061" s="1114" t="s">
        <v>1719</v>
      </c>
      <c r="C1061" s="1111"/>
      <c r="D1061" s="1114">
        <f>Quarts!S8</f>
        <v>594</v>
      </c>
      <c r="E1061" s="575"/>
      <c r="F1061" s="567"/>
    </row>
    <row r="1062" spans="2:10" x14ac:dyDescent="0.55000000000000004">
      <c r="B1062" s="567"/>
      <c r="C1062" s="567"/>
      <c r="D1062" s="567"/>
      <c r="E1062" s="567"/>
      <c r="F1062" s="567"/>
    </row>
    <row r="1063" spans="2:10" x14ac:dyDescent="0.55000000000000004">
      <c r="B1063" s="608"/>
      <c r="C1063" s="1109" t="s">
        <v>1706</v>
      </c>
      <c r="D1063" s="1109" t="s">
        <v>1707</v>
      </c>
      <c r="E1063" s="567"/>
      <c r="F1063" s="567"/>
    </row>
    <row r="1064" spans="2:10" x14ac:dyDescent="0.55000000000000004">
      <c r="B1064" s="567" t="s">
        <v>339</v>
      </c>
      <c r="C1064" s="567">
        <v>200</v>
      </c>
      <c r="D1064" s="567"/>
      <c r="E1064" s="567"/>
      <c r="F1064" s="567"/>
    </row>
    <row r="1065" spans="2:10" x14ac:dyDescent="0.55000000000000004">
      <c r="B1065" s="567" t="s">
        <v>656</v>
      </c>
      <c r="C1065" s="567">
        <v>100</v>
      </c>
      <c r="D1065" s="567">
        <f>C1065</f>
        <v>100</v>
      </c>
      <c r="E1065" s="567"/>
      <c r="F1065" s="567"/>
    </row>
    <row r="1066" spans="2:10" x14ac:dyDescent="0.55000000000000004">
      <c r="B1066" s="567" t="s">
        <v>371</v>
      </c>
      <c r="C1066" s="575">
        <f>C1065/C1064</f>
        <v>0.5</v>
      </c>
      <c r="D1066" s="575"/>
      <c r="E1066" s="567"/>
      <c r="F1066" s="567"/>
    </row>
    <row r="1067" spans="2:10" x14ac:dyDescent="0.55000000000000004">
      <c r="B1067" s="567" t="s">
        <v>1697</v>
      </c>
      <c r="C1067" s="567">
        <f>C1068*C1064</f>
        <v>40</v>
      </c>
      <c r="D1067" s="567">
        <f>C1067</f>
        <v>40</v>
      </c>
      <c r="E1067" s="567"/>
      <c r="F1067" s="567"/>
    </row>
    <row r="1068" spans="2:10" x14ac:dyDescent="0.55000000000000004">
      <c r="B1068" s="567" t="s">
        <v>1251</v>
      </c>
      <c r="C1068" s="575">
        <v>0.2</v>
      </c>
      <c r="D1068" s="567"/>
      <c r="E1068" s="567"/>
      <c r="F1068" s="567"/>
    </row>
    <row r="1069" spans="2:10" x14ac:dyDescent="0.55000000000000004">
      <c r="B1069" s="567" t="s">
        <v>1698</v>
      </c>
      <c r="C1069" s="567">
        <f>C1065-C1067</f>
        <v>60</v>
      </c>
      <c r="D1069" s="567">
        <f>D1065-D1067</f>
        <v>60</v>
      </c>
      <c r="E1069" s="567"/>
      <c r="F1069" s="567"/>
    </row>
    <row r="1070" spans="2:10" x14ac:dyDescent="0.55000000000000004">
      <c r="B1070" s="567" t="s">
        <v>1699</v>
      </c>
      <c r="C1070" s="567">
        <f>C1077*C1076</f>
        <v>10</v>
      </c>
      <c r="D1070" s="567">
        <f>D1077*D1076</f>
        <v>30</v>
      </c>
      <c r="E1070" s="567"/>
      <c r="F1070" s="567"/>
    </row>
    <row r="1071" spans="2:10" x14ac:dyDescent="0.55000000000000004">
      <c r="B1071" s="567" t="s">
        <v>476</v>
      </c>
      <c r="C1071" s="567">
        <f>C1069-C1070</f>
        <v>50</v>
      </c>
      <c r="D1071" s="567">
        <f>D1069-D1070</f>
        <v>30</v>
      </c>
      <c r="E1071" s="567"/>
      <c r="F1071" s="567"/>
    </row>
    <row r="1072" spans="2:10" x14ac:dyDescent="0.55000000000000004">
      <c r="B1072" s="567" t="s">
        <v>1704</v>
      </c>
      <c r="C1072" s="567">
        <f>0.34*C1071</f>
        <v>17</v>
      </c>
      <c r="D1072" s="567">
        <f>0.34*D1071</f>
        <v>10.200000000000001</v>
      </c>
      <c r="E1072" s="567"/>
      <c r="F1072" s="567"/>
    </row>
    <row r="1073" spans="2:6" x14ac:dyDescent="0.55000000000000004">
      <c r="B1073" s="567" t="s">
        <v>1700</v>
      </c>
      <c r="C1073" s="567">
        <f>C1071-C1072</f>
        <v>33</v>
      </c>
      <c r="D1073" s="567">
        <f>D1071-D1072</f>
        <v>19.799999999999997</v>
      </c>
      <c r="E1073" s="567"/>
      <c r="F1073" s="567"/>
    </row>
    <row r="1074" spans="2:6" x14ac:dyDescent="0.55000000000000004">
      <c r="B1074" s="567"/>
      <c r="C1074" s="567"/>
      <c r="D1074" s="567"/>
      <c r="E1074" s="567"/>
      <c r="F1074" s="567"/>
    </row>
    <row r="1075" spans="2:6" x14ac:dyDescent="0.55000000000000004">
      <c r="B1075" s="567" t="s">
        <v>1709</v>
      </c>
      <c r="C1075" s="567"/>
      <c r="D1075" s="567">
        <f>D1076-C1076</f>
        <v>200</v>
      </c>
      <c r="E1075" s="567"/>
      <c r="F1075" s="567"/>
    </row>
    <row r="1076" spans="2:6" x14ac:dyDescent="0.55000000000000004">
      <c r="B1076" s="567" t="s">
        <v>1701</v>
      </c>
      <c r="C1076" s="567">
        <v>100</v>
      </c>
      <c r="D1076" s="567">
        <f>D1065*D1078</f>
        <v>300</v>
      </c>
      <c r="E1076" s="567"/>
      <c r="F1076" s="567"/>
    </row>
    <row r="1077" spans="2:6" x14ac:dyDescent="0.55000000000000004">
      <c r="B1077" s="567" t="s">
        <v>1703</v>
      </c>
      <c r="C1077" s="1093">
        <v>0.1</v>
      </c>
      <c r="D1077" s="575">
        <f>C1077</f>
        <v>0.1</v>
      </c>
      <c r="E1077" s="567"/>
      <c r="F1077" s="567"/>
    </row>
    <row r="1078" spans="2:6" x14ac:dyDescent="0.55000000000000004">
      <c r="B1078" s="567" t="s">
        <v>1702</v>
      </c>
      <c r="C1078" s="580">
        <f>C1076/C1065</f>
        <v>1</v>
      </c>
      <c r="D1078" s="827">
        <v>3</v>
      </c>
      <c r="E1078" s="567"/>
      <c r="F1078" s="578"/>
    </row>
    <row r="1079" spans="2:6" x14ac:dyDescent="0.55000000000000004">
      <c r="B1079" s="567"/>
      <c r="C1079" s="567"/>
      <c r="D1079" s="567"/>
      <c r="E1079" s="567"/>
      <c r="F1079" s="567"/>
    </row>
    <row r="1080" spans="2:6" x14ac:dyDescent="0.55000000000000004">
      <c r="B1080" s="567" t="s">
        <v>1708</v>
      </c>
      <c r="C1080" s="575">
        <v>0.1</v>
      </c>
      <c r="D1080" s="575">
        <f>D1073/D1081</f>
        <v>0.15230769230769228</v>
      </c>
      <c r="E1080" s="567"/>
      <c r="F1080" s="567"/>
    </row>
    <row r="1081" spans="2:6" x14ac:dyDescent="0.55000000000000004">
      <c r="B1081" s="567" t="s">
        <v>78</v>
      </c>
      <c r="C1081" s="567">
        <f>C1073/C1080</f>
        <v>330</v>
      </c>
      <c r="D1081" s="567">
        <f>D1082-D1076</f>
        <v>130</v>
      </c>
      <c r="E1081" s="567"/>
      <c r="F1081" s="567"/>
    </row>
    <row r="1082" spans="2:6" x14ac:dyDescent="0.55000000000000004">
      <c r="B1082" s="567" t="s">
        <v>81</v>
      </c>
      <c r="C1082" s="567">
        <f>C1081+C1076</f>
        <v>430</v>
      </c>
      <c r="D1082" s="567">
        <f>D1083*D1065</f>
        <v>430</v>
      </c>
      <c r="E1082" s="567"/>
      <c r="F1082" s="567"/>
    </row>
    <row r="1083" spans="2:6" x14ac:dyDescent="0.55000000000000004">
      <c r="B1083" s="567" t="s">
        <v>1705</v>
      </c>
      <c r="C1083" s="580">
        <f>C1082/C1065</f>
        <v>4.3</v>
      </c>
      <c r="D1083" s="827">
        <f>C1083</f>
        <v>4.3</v>
      </c>
      <c r="E1083" s="567"/>
    </row>
    <row r="1085" spans="2:6" x14ac:dyDescent="0.55000000000000004">
      <c r="B1085" s="552" t="s">
        <v>1710</v>
      </c>
      <c r="C1085" s="567">
        <f>C1081</f>
        <v>330</v>
      </c>
      <c r="D1085" s="567">
        <f>D1081+D1075</f>
        <v>330</v>
      </c>
    </row>
    <row r="1088" spans="2:6" x14ac:dyDescent="0.55000000000000004">
      <c r="B1088" s="618" t="s">
        <v>416</v>
      </c>
      <c r="C1088" s="1110" t="s">
        <v>1007</v>
      </c>
      <c r="D1088" s="1110" t="s">
        <v>1015</v>
      </c>
    </row>
    <row r="1089" spans="2:9" x14ac:dyDescent="0.55000000000000004">
      <c r="B1089" s="552" t="s">
        <v>1715</v>
      </c>
      <c r="C1089" s="924">
        <f>Quarts!N233</f>
        <v>6478.47</v>
      </c>
      <c r="D1089" s="924">
        <f>Quarts!S233</f>
        <v>10388</v>
      </c>
    </row>
    <row r="1090" spans="2:9" x14ac:dyDescent="0.55000000000000004">
      <c r="B1090" s="552" t="s">
        <v>1711</v>
      </c>
      <c r="C1090" s="575">
        <v>0.08</v>
      </c>
      <c r="D1090" s="575">
        <v>0.19</v>
      </c>
    </row>
    <row r="1091" spans="2:9" x14ac:dyDescent="0.55000000000000004">
      <c r="B1091" s="552" t="s">
        <v>1713</v>
      </c>
      <c r="C1091" s="924">
        <f>C1089*C1090</f>
        <v>518.27760000000001</v>
      </c>
      <c r="D1091" s="924">
        <f>D1089*D1090</f>
        <v>1973.72</v>
      </c>
    </row>
    <row r="1092" spans="2:9" x14ac:dyDescent="0.55000000000000004">
      <c r="B1092" s="552" t="s">
        <v>1712</v>
      </c>
      <c r="D1092" s="575">
        <v>0.5</v>
      </c>
    </row>
    <row r="1093" spans="2:9" x14ac:dyDescent="0.55000000000000004">
      <c r="B1093" s="552" t="s">
        <v>1714</v>
      </c>
      <c r="D1093" s="924">
        <f>(D1091-C1091)*D1092</f>
        <v>727.72119999999995</v>
      </c>
    </row>
    <row r="1095" spans="2:9" x14ac:dyDescent="0.55000000000000004">
      <c r="D1095" s="567">
        <f>0.06*D1093*3</f>
        <v>130.98981599999996</v>
      </c>
    </row>
    <row r="1098" spans="2:9" x14ac:dyDescent="0.55000000000000004">
      <c r="B1098" s="574"/>
      <c r="C1098" s="579" t="s">
        <v>1723</v>
      </c>
      <c r="D1098" s="579" t="s">
        <v>1724</v>
      </c>
      <c r="F1098" s="579" t="s">
        <v>1725</v>
      </c>
      <c r="G1098" s="579" t="s">
        <v>1726</v>
      </c>
    </row>
    <row r="1099" spans="2:9" x14ac:dyDescent="0.55000000000000004">
      <c r="B1099" s="552" t="s">
        <v>1722</v>
      </c>
      <c r="C1099" s="575">
        <v>0.85</v>
      </c>
      <c r="D1099" s="575">
        <v>0.74</v>
      </c>
      <c r="F1099" s="575">
        <v>0.75</v>
      </c>
      <c r="G1099" s="575">
        <v>0.73</v>
      </c>
    </row>
    <row r="1100" spans="2:9" x14ac:dyDescent="0.55000000000000004">
      <c r="B1100" s="552" t="s">
        <v>246</v>
      </c>
      <c r="C1100" s="575">
        <v>0.06</v>
      </c>
      <c r="D1100" s="575">
        <v>7.0000000000000007E-2</v>
      </c>
      <c r="F1100" s="575">
        <v>0.15</v>
      </c>
      <c r="G1100" s="575">
        <v>0.16</v>
      </c>
    </row>
    <row r="1101" spans="2:9" x14ac:dyDescent="0.55000000000000004">
      <c r="B1101" s="552" t="s">
        <v>245</v>
      </c>
      <c r="C1101" s="575">
        <f>100%-C1099-C1100</f>
        <v>9.0000000000000024E-2</v>
      </c>
      <c r="D1101" s="575">
        <f>100%-D1099-D1100</f>
        <v>0.19</v>
      </c>
      <c r="F1101" s="575">
        <v>0.1</v>
      </c>
      <c r="G1101" s="575">
        <v>0.11</v>
      </c>
    </row>
    <row r="1103" spans="2:9" x14ac:dyDescent="0.55000000000000004">
      <c r="B1103" s="618"/>
      <c r="C1103" s="1110" t="s">
        <v>1007</v>
      </c>
      <c r="D1103" s="1110" t="s">
        <v>1008</v>
      </c>
      <c r="E1103" s="1110" t="s">
        <v>1017</v>
      </c>
      <c r="F1103" s="1110" t="s">
        <v>1014</v>
      </c>
      <c r="G1103" s="1110" t="s">
        <v>1015</v>
      </c>
      <c r="H1103" s="567" t="s">
        <v>1744</v>
      </c>
      <c r="I1103" s="1110" t="s">
        <v>1743</v>
      </c>
    </row>
    <row r="1104" spans="2:9" x14ac:dyDescent="0.55000000000000004">
      <c r="B1104" s="552" t="s">
        <v>1727</v>
      </c>
      <c r="C1104" s="575">
        <v>0.08</v>
      </c>
      <c r="D1104" s="575">
        <v>0.1</v>
      </c>
      <c r="E1104" s="575">
        <v>0.12</v>
      </c>
      <c r="F1104" s="575">
        <v>0.16</v>
      </c>
      <c r="G1104" s="575">
        <v>0.19</v>
      </c>
    </row>
    <row r="1105" spans="2:9" x14ac:dyDescent="0.55000000000000004">
      <c r="B1105" s="552" t="s">
        <v>1728</v>
      </c>
      <c r="C1105" s="575">
        <v>0.06</v>
      </c>
      <c r="D1105" s="575">
        <v>7.0000000000000007E-2</v>
      </c>
      <c r="E1105" s="575">
        <v>7.0000000000000007E-2</v>
      </c>
      <c r="F1105" s="575">
        <v>7.0000000000000007E-2</v>
      </c>
      <c r="G1105" s="575">
        <v>7.0000000000000007E-2</v>
      </c>
    </row>
    <row r="1106" spans="2:9" x14ac:dyDescent="0.55000000000000004">
      <c r="B1106" s="552" t="s">
        <v>1729</v>
      </c>
      <c r="C1106" s="575">
        <v>0.1</v>
      </c>
      <c r="D1106" s="575">
        <v>0.1</v>
      </c>
      <c r="E1106" s="575">
        <v>0.09</v>
      </c>
      <c r="F1106" s="575">
        <v>0.1</v>
      </c>
      <c r="G1106" s="575">
        <v>0.11</v>
      </c>
    </row>
    <row r="1107" spans="2:9" x14ac:dyDescent="0.55000000000000004">
      <c r="B1107" s="552" t="s">
        <v>1730</v>
      </c>
      <c r="C1107" s="575">
        <v>0.15</v>
      </c>
      <c r="D1107" s="575">
        <v>0.17</v>
      </c>
      <c r="E1107" s="575">
        <v>0.17</v>
      </c>
      <c r="F1107" s="575">
        <v>0.18</v>
      </c>
      <c r="G1107" s="575">
        <v>0.16</v>
      </c>
    </row>
    <row r="1108" spans="2:9" x14ac:dyDescent="0.55000000000000004">
      <c r="B1108" s="552" t="s">
        <v>1742</v>
      </c>
      <c r="C1108" s="575">
        <f>C1104+C1105</f>
        <v>0.14000000000000001</v>
      </c>
      <c r="D1108" s="575">
        <f t="shared" ref="D1108:G1108" si="38">D1104+D1105</f>
        <v>0.17</v>
      </c>
      <c r="E1108" s="575">
        <f t="shared" si="38"/>
        <v>0.19</v>
      </c>
      <c r="F1108" s="575">
        <f t="shared" si="38"/>
        <v>0.23</v>
      </c>
      <c r="G1108" s="575">
        <f t="shared" si="38"/>
        <v>0.26</v>
      </c>
      <c r="H1108" s="575">
        <v>0.7</v>
      </c>
      <c r="I1108" s="575">
        <v>0.7</v>
      </c>
    </row>
    <row r="1126" spans="2:10" x14ac:dyDescent="0.55000000000000004">
      <c r="B1126" s="574" t="s">
        <v>1737</v>
      </c>
      <c r="C1126" s="609" t="s">
        <v>1015</v>
      </c>
    </row>
    <row r="1127" spans="2:10" x14ac:dyDescent="0.55000000000000004">
      <c r="B1127" s="552" t="s">
        <v>414</v>
      </c>
      <c r="C1127" s="568">
        <f>Quarts!S8</f>
        <v>594</v>
      </c>
      <c r="E1127" s="567">
        <f>D1058</f>
        <v>130.17375000000001</v>
      </c>
      <c r="I1127" s="567" t="str">
        <f t="shared" ref="I1127:J1129" si="39">B1127</f>
        <v>Interest income</v>
      </c>
      <c r="J1127" s="567">
        <f t="shared" si="39"/>
        <v>594</v>
      </c>
    </row>
    <row r="1128" spans="2:10" x14ac:dyDescent="0.55000000000000004">
      <c r="B1128" s="552" t="s">
        <v>1731</v>
      </c>
      <c r="C1128" s="568">
        <f>Quarts!S15*0.8</f>
        <v>216.8</v>
      </c>
      <c r="E1128" s="575">
        <f>E1127/C1127</f>
        <v>0.2191477272727273</v>
      </c>
      <c r="I1128" s="567" t="str">
        <f t="shared" si="39"/>
        <v>Interchange (credit cards only)</v>
      </c>
      <c r="J1128" s="567">
        <f t="shared" si="39"/>
        <v>216.8</v>
      </c>
    </row>
    <row r="1129" spans="2:10" x14ac:dyDescent="0.55000000000000004">
      <c r="B1129" s="618" t="s">
        <v>165</v>
      </c>
      <c r="C1129" s="936">
        <v>43</v>
      </c>
      <c r="D1129" s="618"/>
      <c r="I1129" s="567" t="str">
        <f t="shared" si="39"/>
        <v>Late fees</v>
      </c>
      <c r="J1129" s="567">
        <f t="shared" si="39"/>
        <v>43</v>
      </c>
    </row>
    <row r="1130" spans="2:10" x14ac:dyDescent="0.55000000000000004">
      <c r="B1130" s="552" t="s">
        <v>345</v>
      </c>
      <c r="C1130" s="568">
        <f>C1127+C1128+C1129</f>
        <v>853.8</v>
      </c>
      <c r="D1130" s="575">
        <f>C1130/C$1133</f>
        <v>0.45691961896607086</v>
      </c>
      <c r="I1130" s="567" t="str">
        <f>B1131</f>
        <v>Personal loans</v>
      </c>
      <c r="J1130" s="567">
        <f>C1131</f>
        <v>353</v>
      </c>
    </row>
    <row r="1131" spans="2:10" x14ac:dyDescent="0.55000000000000004">
      <c r="B1131" s="552" t="s">
        <v>218</v>
      </c>
      <c r="C1131" s="568">
        <f>Quarts!S9</f>
        <v>353</v>
      </c>
      <c r="D1131" s="575">
        <f>C1131/C$1133</f>
        <v>0.18891148453387563</v>
      </c>
      <c r="I1131" s="567" t="str">
        <f>B1132</f>
        <v>Other (including interest on securities)</v>
      </c>
      <c r="J1131" s="567">
        <f>C1132</f>
        <v>661.8</v>
      </c>
    </row>
    <row r="1132" spans="2:10" x14ac:dyDescent="0.55000000000000004">
      <c r="B1132" s="618" t="s">
        <v>1736</v>
      </c>
      <c r="C1132" s="936">
        <f>C1133-C1130-C1131</f>
        <v>661.8</v>
      </c>
      <c r="D1132" s="726">
        <f>C1132/C$1133</f>
        <v>0.35416889650005351</v>
      </c>
    </row>
    <row r="1133" spans="2:10" x14ac:dyDescent="0.55000000000000004">
      <c r="B1133" s="552" t="s">
        <v>339</v>
      </c>
      <c r="C1133" s="568">
        <f>Quarts!S6</f>
        <v>1868.6</v>
      </c>
      <c r="D1133" s="575">
        <f>C1133/C$1133</f>
        <v>1</v>
      </c>
    </row>
    <row r="1134" spans="2:10" x14ac:dyDescent="0.55000000000000004">
      <c r="C1134" s="568"/>
    </row>
    <row r="1135" spans="2:10" x14ac:dyDescent="0.55000000000000004">
      <c r="B1135" s="1128" t="s">
        <v>449</v>
      </c>
      <c r="C1135" s="1123"/>
      <c r="D1135" s="1122"/>
    </row>
    <row r="1136" spans="2:10" x14ac:dyDescent="0.55000000000000004">
      <c r="B1136" s="1122" t="str">
        <f>B1130</f>
        <v>Credit cards</v>
      </c>
      <c r="C1136" s="1123">
        <f>C1138-C1137</f>
        <v>3508</v>
      </c>
      <c r="D1136" s="1124">
        <f>C1136/C$1140</f>
        <v>0.19488888888888889</v>
      </c>
    </row>
    <row r="1137" spans="2:4" x14ac:dyDescent="0.55000000000000004">
      <c r="B1137" s="1125" t="str">
        <f>B1131</f>
        <v>Personal loans</v>
      </c>
      <c r="C1137" s="1126">
        <f>Quarts!S246</f>
        <v>2792</v>
      </c>
      <c r="D1137" s="1127">
        <f>C1137/C$1140</f>
        <v>0.15511111111111112</v>
      </c>
    </row>
    <row r="1138" spans="2:4" x14ac:dyDescent="0.55000000000000004">
      <c r="B1138" s="1122" t="s">
        <v>1464</v>
      </c>
      <c r="C1138" s="1123">
        <v>6300</v>
      </c>
      <c r="D1138" s="1124">
        <v>0.35</v>
      </c>
    </row>
    <row r="1139" spans="2:4" x14ac:dyDescent="0.55000000000000004">
      <c r="B1139" s="1122" t="s">
        <v>1739</v>
      </c>
      <c r="C1139" s="1123">
        <f>C1140-C1138</f>
        <v>11700</v>
      </c>
      <c r="D1139" s="1124">
        <f>C1139/C$1140</f>
        <v>0.65</v>
      </c>
    </row>
    <row r="1140" spans="2:4" x14ac:dyDescent="0.55000000000000004">
      <c r="B1140" s="1122" t="s">
        <v>47</v>
      </c>
      <c r="C1140" s="1123">
        <f>C1138/D1138</f>
        <v>18000</v>
      </c>
      <c r="D1140" s="1122"/>
    </row>
    <row r="1141" spans="2:4" x14ac:dyDescent="0.55000000000000004">
      <c r="C1141" s="568"/>
    </row>
    <row r="1142" spans="2:4" x14ac:dyDescent="0.55000000000000004">
      <c r="B1142" s="613" t="s">
        <v>1732</v>
      </c>
      <c r="C1142" s="568"/>
    </row>
    <row r="1143" spans="2:4" x14ac:dyDescent="0.55000000000000004">
      <c r="B1143" s="552" t="str">
        <f>B1136</f>
        <v>Credit cards</v>
      </c>
      <c r="C1143" s="568">
        <f>C1136/C$1140*C$1146</f>
        <v>-88.362622222222214</v>
      </c>
      <c r="D1143" s="575">
        <f>C1143/C$1146</f>
        <v>0.19488888888888889</v>
      </c>
    </row>
    <row r="1144" spans="2:4" x14ac:dyDescent="0.55000000000000004">
      <c r="B1144" s="552" t="str">
        <f>B1137</f>
        <v>Personal loans</v>
      </c>
      <c r="C1144" s="568">
        <f>C1137/C$1140*C$1146</f>
        <v>-70.32737777777777</v>
      </c>
      <c r="D1144" s="575">
        <f>C1144/C$1146</f>
        <v>0.15511111111111109</v>
      </c>
    </row>
    <row r="1145" spans="2:4" x14ac:dyDescent="0.55000000000000004">
      <c r="B1145" s="618" t="s">
        <v>1740</v>
      </c>
      <c r="C1145" s="936">
        <f>C1139/C$1140*C$1146</f>
        <v>-294.70999999999998</v>
      </c>
      <c r="D1145" s="726">
        <f>C1145/C$1146</f>
        <v>0.65</v>
      </c>
    </row>
    <row r="1146" spans="2:4" x14ac:dyDescent="0.55000000000000004">
      <c r="B1146" s="552" t="s">
        <v>1732</v>
      </c>
      <c r="C1146" s="568">
        <f>Quarts!S25</f>
        <v>-453.4</v>
      </c>
      <c r="D1146" s="575">
        <f>C1146/C$1146</f>
        <v>1</v>
      </c>
    </row>
    <row r="1147" spans="2:4" x14ac:dyDescent="0.55000000000000004">
      <c r="C1147" s="568"/>
    </row>
    <row r="1148" spans="2:4" x14ac:dyDescent="0.55000000000000004">
      <c r="B1148" s="613" t="s">
        <v>1735</v>
      </c>
      <c r="C1148" s="568"/>
    </row>
    <row r="1149" spans="2:4" x14ac:dyDescent="0.55000000000000004">
      <c r="B1149" s="552" t="str">
        <f>B1130</f>
        <v>Credit cards</v>
      </c>
      <c r="C1149" s="568">
        <f>C1130+C1143</f>
        <v>765.43737777777778</v>
      </c>
    </row>
    <row r="1150" spans="2:4" x14ac:dyDescent="0.55000000000000004">
      <c r="B1150" s="552" t="str">
        <f>B1131</f>
        <v>Personal loans</v>
      </c>
      <c r="C1150" s="568">
        <f>C1131+C1144</f>
        <v>282.67262222222223</v>
      </c>
    </row>
    <row r="1151" spans="2:4" x14ac:dyDescent="0.55000000000000004">
      <c r="B1151" s="618" t="str">
        <f>B1132</f>
        <v>Other (including interest on securities)</v>
      </c>
      <c r="C1151" s="936">
        <f>C1132+C1145</f>
        <v>367.09</v>
      </c>
    </row>
    <row r="1152" spans="2:4" x14ac:dyDescent="0.55000000000000004">
      <c r="B1152" s="552" t="s">
        <v>703</v>
      </c>
      <c r="C1152" s="568">
        <f>SUM(C1149:C1151)</f>
        <v>1415.2</v>
      </c>
    </row>
    <row r="1153" spans="2:4" x14ac:dyDescent="0.55000000000000004">
      <c r="C1153" s="568"/>
    </row>
    <row r="1154" spans="2:4" x14ac:dyDescent="0.55000000000000004">
      <c r="B1154" s="613" t="s">
        <v>1738</v>
      </c>
      <c r="C1154" s="568"/>
    </row>
    <row r="1155" spans="2:4" x14ac:dyDescent="0.55000000000000004">
      <c r="B1155" s="552" t="str">
        <f>B1130</f>
        <v>Credit cards</v>
      </c>
      <c r="C1155" s="568">
        <f>Quarts!S43</f>
        <v>-465</v>
      </c>
      <c r="D1155" s="575">
        <f t="shared" ref="D1155:D1157" si="40">C1155/C$1146</f>
        <v>1.0255844728716366</v>
      </c>
    </row>
    <row r="1156" spans="2:4" x14ac:dyDescent="0.55000000000000004">
      <c r="B1156" s="618" t="str">
        <f>B1131</f>
        <v>Personal loans</v>
      </c>
      <c r="C1156" s="936">
        <f>Quarts!S45</f>
        <v>-125.39999999999998</v>
      </c>
      <c r="D1156" s="726">
        <f t="shared" si="40"/>
        <v>0.2765769739744155</v>
      </c>
    </row>
    <row r="1157" spans="2:4" x14ac:dyDescent="0.55000000000000004">
      <c r="B1157" s="552" t="s">
        <v>353</v>
      </c>
      <c r="C1157" s="568">
        <f>SUM(C1155:C1156)</f>
        <v>-590.4</v>
      </c>
      <c r="D1157" s="575">
        <f t="shared" si="40"/>
        <v>1.3021614468460521</v>
      </c>
    </row>
    <row r="1158" spans="2:4" ht="15.6" thickBot="1" x14ac:dyDescent="0.6">
      <c r="C1158" s="568"/>
    </row>
    <row r="1159" spans="2:4" x14ac:dyDescent="0.55000000000000004">
      <c r="B1159" s="937" t="s">
        <v>1741</v>
      </c>
      <c r="C1159" s="1129"/>
      <c r="D1159" s="1130"/>
    </row>
    <row r="1160" spans="2:4" x14ac:dyDescent="0.55000000000000004">
      <c r="B1160" s="1131" t="str">
        <f>B1155</f>
        <v>Credit cards</v>
      </c>
      <c r="C1160" s="568">
        <f>C1149+C1155</f>
        <v>300.43737777777778</v>
      </c>
      <c r="D1160" s="1132">
        <f>C1160/C$1163</f>
        <v>0.36425482271796539</v>
      </c>
    </row>
    <row r="1161" spans="2:4" x14ac:dyDescent="0.55000000000000004">
      <c r="B1161" s="1131" t="str">
        <f>B1156</f>
        <v>Personal loans</v>
      </c>
      <c r="C1161" s="568">
        <f>C1150+C1156</f>
        <v>157.27262222222225</v>
      </c>
      <c r="D1161" s="1132">
        <f>C1161/C$1163</f>
        <v>0.19067970686496397</v>
      </c>
    </row>
    <row r="1162" spans="2:4" x14ac:dyDescent="0.55000000000000004">
      <c r="B1162" s="1133" t="s">
        <v>1287</v>
      </c>
      <c r="C1162" s="936">
        <f>C1151</f>
        <v>367.09</v>
      </c>
      <c r="D1162" s="1134">
        <f>C1162/C$1163</f>
        <v>0.44506547041707084</v>
      </c>
    </row>
    <row r="1163" spans="2:4" ht="15.6" thickBot="1" x14ac:dyDescent="0.6">
      <c r="B1163" s="1135" t="s">
        <v>353</v>
      </c>
      <c r="C1163" s="1136">
        <f>C1133+C1146+C1157</f>
        <v>824.79999999999984</v>
      </c>
      <c r="D1163" s="1137">
        <f>C1163/C$1163</f>
        <v>1</v>
      </c>
    </row>
    <row r="1165" spans="2:4" x14ac:dyDescent="0.55000000000000004">
      <c r="B1165" s="552" t="s">
        <v>1734</v>
      </c>
      <c r="C1165" s="567">
        <f>Quarts!S36</f>
        <v>-42.8</v>
      </c>
    </row>
    <row r="1166" spans="2:4" x14ac:dyDescent="0.55000000000000004">
      <c r="B1166" s="618" t="s">
        <v>1733</v>
      </c>
      <c r="C1166" s="608">
        <f>Quarts!S83</f>
        <v>-458</v>
      </c>
      <c r="D1166" s="618"/>
    </row>
    <row r="1167" spans="2:4" x14ac:dyDescent="0.55000000000000004">
      <c r="B1167" s="613" t="s">
        <v>476</v>
      </c>
      <c r="C1167" s="927">
        <f>C1163+C1165+C1166</f>
        <v>323.99999999999989</v>
      </c>
      <c r="D1167" s="613"/>
    </row>
    <row r="1170" spans="2:6" x14ac:dyDescent="0.55000000000000004">
      <c r="B1170" s="574" t="s">
        <v>1746</v>
      </c>
      <c r="C1170" s="579" t="s">
        <v>1016</v>
      </c>
    </row>
    <row r="1171" spans="2:6" x14ac:dyDescent="0.55000000000000004">
      <c r="B1171" s="552" t="s">
        <v>136</v>
      </c>
      <c r="C1171" s="575">
        <f>Quarts!AO6</f>
        <v>0.63498201851710134</v>
      </c>
    </row>
    <row r="1172" spans="2:6" x14ac:dyDescent="0.55000000000000004">
      <c r="B1172" s="552" t="s">
        <v>1751</v>
      </c>
      <c r="C1172" s="575">
        <v>0.48</v>
      </c>
    </row>
    <row r="1173" spans="2:6" x14ac:dyDescent="0.55000000000000004">
      <c r="B1173" s="552" t="s">
        <v>1749</v>
      </c>
      <c r="C1173" s="575">
        <v>0.36</v>
      </c>
    </row>
    <row r="1174" spans="2:6" x14ac:dyDescent="0.55000000000000004">
      <c r="B1174" s="552" t="s">
        <v>1748</v>
      </c>
      <c r="C1174" s="575">
        <v>0.23</v>
      </c>
    </row>
    <row r="1175" spans="2:6" x14ac:dyDescent="0.55000000000000004">
      <c r="B1175" s="552" t="s">
        <v>1750</v>
      </c>
      <c r="C1175" s="575">
        <v>0.16</v>
      </c>
    </row>
    <row r="1176" spans="2:6" x14ac:dyDescent="0.55000000000000004">
      <c r="B1176" s="552" t="s">
        <v>1752</v>
      </c>
      <c r="C1176" s="575">
        <v>8.5000000000000006E-2</v>
      </c>
    </row>
    <row r="1177" spans="2:6" x14ac:dyDescent="0.55000000000000004">
      <c r="B1177" s="552" t="s">
        <v>1753</v>
      </c>
      <c r="C1177" s="575">
        <v>7.0000000000000007E-2</v>
      </c>
    </row>
    <row r="1178" spans="2:6" x14ac:dyDescent="0.55000000000000004">
      <c r="B1178" s="552" t="s">
        <v>1747</v>
      </c>
      <c r="C1178" s="575">
        <v>-0.03</v>
      </c>
    </row>
    <row r="1180" spans="2:6" x14ac:dyDescent="0.55000000000000004">
      <c r="D1180" s="552">
        <v>18</v>
      </c>
    </row>
    <row r="1181" spans="2:6" x14ac:dyDescent="0.55000000000000004">
      <c r="C1181" s="552" t="s">
        <v>1804</v>
      </c>
      <c r="E1181" s="552" t="s">
        <v>1805</v>
      </c>
      <c r="F1181" s="552" t="s">
        <v>1806</v>
      </c>
    </row>
    <row r="1182" spans="2:6" x14ac:dyDescent="0.55000000000000004">
      <c r="B1182" s="552" t="s">
        <v>1756</v>
      </c>
      <c r="C1182" s="552">
        <v>100</v>
      </c>
      <c r="D1182" s="567">
        <f>$C$1182/$D$1180</f>
        <v>5.5555555555555554</v>
      </c>
      <c r="E1182" s="580">
        <f t="shared" ref="E1182:E1193" si="41">C1182*F1182</f>
        <v>13.3</v>
      </c>
      <c r="F1182" s="611">
        <v>0.13300000000000001</v>
      </c>
    </row>
    <row r="1183" spans="2:6" x14ac:dyDescent="0.55000000000000004">
      <c r="C1183" s="567">
        <f>C1182-$C$1182/$D$1180</f>
        <v>94.444444444444443</v>
      </c>
      <c r="D1183" s="567">
        <f>D1182</f>
        <v>5.5555555555555554</v>
      </c>
      <c r="E1183" s="580">
        <f t="shared" si="41"/>
        <v>8.5</v>
      </c>
      <c r="F1183" s="611">
        <v>0.09</v>
      </c>
    </row>
    <row r="1184" spans="2:6" x14ac:dyDescent="0.55000000000000004">
      <c r="C1184" s="567">
        <f t="shared" ref="C1184:C1193" si="42">C1183-$C$1182/$D$1180</f>
        <v>88.888888888888886</v>
      </c>
      <c r="D1184" s="567">
        <f t="shared" ref="D1184:D1193" si="43">D1183</f>
        <v>5.5555555555555554</v>
      </c>
      <c r="E1184" s="580">
        <f t="shared" si="41"/>
        <v>7.9999999999999991</v>
      </c>
      <c r="F1184" s="611">
        <v>0.09</v>
      </c>
    </row>
    <row r="1185" spans="3:6" x14ac:dyDescent="0.55000000000000004">
      <c r="C1185" s="567">
        <f t="shared" si="42"/>
        <v>83.333333333333329</v>
      </c>
      <c r="D1185" s="567">
        <f t="shared" si="43"/>
        <v>5.5555555555555554</v>
      </c>
      <c r="E1185" s="580">
        <f t="shared" si="41"/>
        <v>7.4999999999999991</v>
      </c>
      <c r="F1185" s="611">
        <v>0.09</v>
      </c>
    </row>
    <row r="1186" spans="3:6" x14ac:dyDescent="0.55000000000000004">
      <c r="C1186" s="567">
        <f t="shared" si="42"/>
        <v>77.777777777777771</v>
      </c>
      <c r="D1186" s="567">
        <f t="shared" si="43"/>
        <v>5.5555555555555554</v>
      </c>
      <c r="E1186" s="580">
        <f t="shared" si="41"/>
        <v>6.9999999999999991</v>
      </c>
      <c r="F1186" s="611">
        <v>0.09</v>
      </c>
    </row>
    <row r="1187" spans="3:6" x14ac:dyDescent="0.55000000000000004">
      <c r="C1187" s="567">
        <f t="shared" si="42"/>
        <v>72.222222222222214</v>
      </c>
      <c r="D1187" s="567">
        <f t="shared" si="43"/>
        <v>5.5555555555555554</v>
      </c>
      <c r="E1187" s="580">
        <f t="shared" si="41"/>
        <v>6.4999999999999991</v>
      </c>
      <c r="F1187" s="611">
        <v>0.09</v>
      </c>
    </row>
    <row r="1188" spans="3:6" x14ac:dyDescent="0.55000000000000004">
      <c r="C1188" s="567">
        <f t="shared" si="42"/>
        <v>66.666666666666657</v>
      </c>
      <c r="D1188" s="567">
        <f t="shared" si="43"/>
        <v>5.5555555555555554</v>
      </c>
      <c r="E1188" s="580">
        <f t="shared" si="41"/>
        <v>5.9999999999999991</v>
      </c>
      <c r="F1188" s="611">
        <v>0.09</v>
      </c>
    </row>
    <row r="1189" spans="3:6" x14ac:dyDescent="0.55000000000000004">
      <c r="C1189" s="567">
        <f t="shared" si="42"/>
        <v>61.1111111111111</v>
      </c>
      <c r="D1189" s="567">
        <f t="shared" si="43"/>
        <v>5.5555555555555554</v>
      </c>
      <c r="E1189" s="580">
        <f t="shared" si="41"/>
        <v>5.4999999999999991</v>
      </c>
      <c r="F1189" s="611">
        <v>0.09</v>
      </c>
    </row>
    <row r="1190" spans="3:6" x14ac:dyDescent="0.55000000000000004">
      <c r="C1190" s="567">
        <f t="shared" si="42"/>
        <v>55.555555555555543</v>
      </c>
      <c r="D1190" s="567">
        <f t="shared" si="43"/>
        <v>5.5555555555555554</v>
      </c>
      <c r="E1190" s="580">
        <f t="shared" si="41"/>
        <v>4.9999999999999991</v>
      </c>
      <c r="F1190" s="611">
        <v>0.09</v>
      </c>
    </row>
    <row r="1191" spans="3:6" x14ac:dyDescent="0.55000000000000004">
      <c r="C1191" s="567">
        <f t="shared" si="42"/>
        <v>49.999999999999986</v>
      </c>
      <c r="D1191" s="567">
        <f t="shared" si="43"/>
        <v>5.5555555555555554</v>
      </c>
      <c r="E1191" s="580">
        <f t="shared" si="41"/>
        <v>4.4999999999999982</v>
      </c>
      <c r="F1191" s="611">
        <v>0.09</v>
      </c>
    </row>
    <row r="1192" spans="3:6" x14ac:dyDescent="0.55000000000000004">
      <c r="C1192" s="567">
        <f t="shared" si="42"/>
        <v>44.444444444444429</v>
      </c>
      <c r="D1192" s="567">
        <f t="shared" si="43"/>
        <v>5.5555555555555554</v>
      </c>
      <c r="E1192" s="580">
        <f t="shared" si="41"/>
        <v>3.9999999999999982</v>
      </c>
      <c r="F1192" s="611">
        <v>0.09</v>
      </c>
    </row>
    <row r="1193" spans="3:6" x14ac:dyDescent="0.55000000000000004">
      <c r="C1193" s="567">
        <f t="shared" si="42"/>
        <v>38.888888888888872</v>
      </c>
      <c r="D1193" s="567">
        <f t="shared" si="43"/>
        <v>5.5555555555555554</v>
      </c>
      <c r="E1193" s="580">
        <f t="shared" si="41"/>
        <v>3.4999999999999982</v>
      </c>
      <c r="F1193" s="611">
        <v>0.09</v>
      </c>
    </row>
    <row r="1194" spans="3:6" x14ac:dyDescent="0.55000000000000004">
      <c r="C1194" s="567"/>
      <c r="D1194" s="567">
        <f>SUM(D1182:D1193)</f>
        <v>66.666666666666671</v>
      </c>
      <c r="E1194" s="567">
        <f>SUM(E1182:E1193)</f>
        <v>79.3</v>
      </c>
      <c r="F1194" s="611"/>
    </row>
    <row r="1195" spans="3:6" x14ac:dyDescent="0.55000000000000004">
      <c r="C1195" s="567"/>
      <c r="D1195" s="567"/>
      <c r="E1195" s="580">
        <f>D1194+E1194</f>
        <v>145.96666666666667</v>
      </c>
      <c r="F1195" s="611"/>
    </row>
    <row r="1196" spans="3:6" x14ac:dyDescent="0.55000000000000004">
      <c r="C1196" s="567"/>
      <c r="D1196" s="567"/>
      <c r="E1196" s="580">
        <f>E1195/12</f>
        <v>12.16388888888889</v>
      </c>
      <c r="F1196" s="611"/>
    </row>
    <row r="1197" spans="3:6" x14ac:dyDescent="0.55000000000000004">
      <c r="C1197" s="567"/>
      <c r="D1197" s="567"/>
      <c r="E1197" s="580"/>
      <c r="F1197" s="611"/>
    </row>
    <row r="1198" spans="3:6" x14ac:dyDescent="0.55000000000000004">
      <c r="C1198" s="567"/>
      <c r="D1198" s="567"/>
      <c r="E1198" s="580"/>
      <c r="F1198" s="611"/>
    </row>
    <row r="1199" spans="3:6" x14ac:dyDescent="0.55000000000000004">
      <c r="C1199" s="567"/>
      <c r="D1199" s="567"/>
      <c r="E1199" s="580"/>
      <c r="F1199" s="611"/>
    </row>
    <row r="1200" spans="3:6" x14ac:dyDescent="0.55000000000000004">
      <c r="C1200" s="567"/>
      <c r="D1200" s="567"/>
      <c r="E1200" s="580"/>
      <c r="F1200" s="611"/>
    </row>
    <row r="1201" spans="2:6" x14ac:dyDescent="0.55000000000000004">
      <c r="C1201" s="567"/>
      <c r="D1201" s="567"/>
      <c r="E1201" s="580"/>
      <c r="F1201" s="611"/>
    </row>
    <row r="1203" spans="2:6" x14ac:dyDescent="0.55000000000000004">
      <c r="B1203" s="552" t="s">
        <v>1756</v>
      </c>
      <c r="C1203" s="552">
        <v>100</v>
      </c>
    </row>
    <row r="1204" spans="2:6" x14ac:dyDescent="0.55000000000000004">
      <c r="B1204" s="552" t="s">
        <v>1754</v>
      </c>
      <c r="C1204" s="552">
        <f>C1203</f>
        <v>100</v>
      </c>
      <c r="D1204" s="567">
        <f>C1203*(1+0.135*17/30)-C1204</f>
        <v>7.6500000000000057</v>
      </c>
      <c r="E1204" s="567">
        <f>D1204/2</f>
        <v>3.8250000000000028</v>
      </c>
    </row>
    <row r="1205" spans="2:6" x14ac:dyDescent="0.55000000000000004">
      <c r="B1205" s="552" t="s">
        <v>1755</v>
      </c>
      <c r="C1205" s="567">
        <f>C1204+D1204</f>
        <v>107.65</v>
      </c>
      <c r="D1205" s="567">
        <f>(C1204+D1204)*(1.09)^5-C1205</f>
        <v>57.982868744985041</v>
      </c>
    </row>
    <row r="1206" spans="2:6" x14ac:dyDescent="0.55000000000000004">
      <c r="B1206" s="552" t="s">
        <v>1758</v>
      </c>
      <c r="C1206" s="567">
        <f>C1205+D1205</f>
        <v>165.63286874498505</v>
      </c>
      <c r="D1206" s="552">
        <v>25</v>
      </c>
    </row>
    <row r="1207" spans="2:6" x14ac:dyDescent="0.55000000000000004">
      <c r="B1207" s="552" t="s">
        <v>1757</v>
      </c>
      <c r="C1207" s="567">
        <f>C1206+D1206</f>
        <v>190.63286874498505</v>
      </c>
    </row>
    <row r="1225" spans="2:5" x14ac:dyDescent="0.55000000000000004">
      <c r="C1225" s="552" t="s">
        <v>1201</v>
      </c>
      <c r="D1225" s="552" t="s">
        <v>218</v>
      </c>
      <c r="E1225" s="552" t="s">
        <v>419</v>
      </c>
    </row>
    <row r="1226" spans="2:5" x14ac:dyDescent="0.55000000000000004">
      <c r="B1226" s="552" t="s">
        <v>1991</v>
      </c>
      <c r="C1226" s="552">
        <v>100</v>
      </c>
      <c r="D1226" s="552">
        <v>40</v>
      </c>
      <c r="E1226" s="552">
        <v>120</v>
      </c>
    </row>
    <row r="1227" spans="2:5" x14ac:dyDescent="0.55000000000000004">
      <c r="B1227" s="584">
        <v>2026</v>
      </c>
    </row>
    <row r="1230" spans="2:5" x14ac:dyDescent="0.55000000000000004">
      <c r="B1230" s="552" t="s">
        <v>1706</v>
      </c>
      <c r="C1230" s="568">
        <f>Quarts!T233</f>
        <v>10495.5</v>
      </c>
      <c r="D1230" s="568">
        <f>Quarts!T234</f>
        <v>2689.9780000000001</v>
      </c>
    </row>
    <row r="1231" spans="2:5" x14ac:dyDescent="0.55000000000000004">
      <c r="B1231" s="552" t="s">
        <v>1759</v>
      </c>
      <c r="C1231" s="575">
        <f>C1230/1000/C1226</f>
        <v>0.10495499999999999</v>
      </c>
      <c r="D1231" s="575">
        <f>D1230/1000/D1226</f>
        <v>6.7249450000000002E-2</v>
      </c>
      <c r="E1231" s="575">
        <v>0</v>
      </c>
    </row>
    <row r="1232" spans="2:5" x14ac:dyDescent="0.55000000000000004">
      <c r="B1232" s="584">
        <v>2026</v>
      </c>
    </row>
    <row r="1233" spans="2:16" x14ac:dyDescent="0.55000000000000004">
      <c r="B1233" s="552" t="s">
        <v>1992</v>
      </c>
      <c r="C1233" s="575" t="e">
        <f>K1245/1000/K1244</f>
        <v>#DIV/0!</v>
      </c>
      <c r="D1233" s="575" t="e">
        <f>L1245/1000/L1244</f>
        <v>#DIV/0!</v>
      </c>
      <c r="E1233" s="575" t="e">
        <f>M1245/1000/M1244</f>
        <v>#DIV/0!</v>
      </c>
    </row>
    <row r="1240" spans="2:16" x14ac:dyDescent="0.55000000000000004">
      <c r="B1240" s="613" t="s">
        <v>1993</v>
      </c>
    </row>
    <row r="1241" spans="2:16" ht="15.6" thickBot="1" x14ac:dyDescent="0.6">
      <c r="B1241" s="613"/>
    </row>
    <row r="1242" spans="2:16" ht="15.6" thickBot="1" x14ac:dyDescent="0.6">
      <c r="B1242" s="613" t="s">
        <v>2041</v>
      </c>
      <c r="C1242" s="1314" t="s">
        <v>1706</v>
      </c>
      <c r="D1242" s="1315"/>
      <c r="E1242" s="1316"/>
      <c r="F1242" s="614" t="s">
        <v>2044</v>
      </c>
      <c r="G1242" s="614" t="s">
        <v>2042</v>
      </c>
      <c r="H1242" s="614" t="s">
        <v>1995</v>
      </c>
      <c r="I1242" s="607" t="s">
        <v>2046</v>
      </c>
      <c r="J1242" s="607" t="s">
        <v>756</v>
      </c>
      <c r="K1242" s="1314" t="s">
        <v>2048</v>
      </c>
      <c r="L1242" s="1315"/>
      <c r="M1242" s="1316"/>
      <c r="P1242" s="567" t="s">
        <v>1985</v>
      </c>
    </row>
    <row r="1243" spans="2:16" x14ac:dyDescent="0.55000000000000004">
      <c r="B1243" s="574" t="s">
        <v>228</v>
      </c>
      <c r="C1243" s="579" t="s">
        <v>1201</v>
      </c>
      <c r="D1243" s="579" t="s">
        <v>1983</v>
      </c>
      <c r="E1243" s="579" t="s">
        <v>419</v>
      </c>
      <c r="F1243" s="579" t="s">
        <v>2043</v>
      </c>
      <c r="G1243" s="579" t="s">
        <v>2045</v>
      </c>
      <c r="H1243" s="579" t="s">
        <v>2051</v>
      </c>
      <c r="I1243" s="616" t="s">
        <v>2047</v>
      </c>
      <c r="J1243" s="609" t="s">
        <v>2050</v>
      </c>
      <c r="K1243" s="579" t="str">
        <f>C1243</f>
        <v>CC</v>
      </c>
      <c r="L1243" s="579" t="str">
        <f>D1243</f>
        <v>Personal</v>
      </c>
      <c r="M1243" s="579" t="str">
        <f>E1243</f>
        <v>Payroll</v>
      </c>
    </row>
    <row r="1244" spans="2:16" x14ac:dyDescent="0.55000000000000004">
      <c r="B1244" s="1078" t="s">
        <v>1996</v>
      </c>
      <c r="C1244" s="1179">
        <f>bcb!R38/1000</f>
        <v>0</v>
      </c>
      <c r="D1244" s="1179">
        <f>bcb!AC38/1000</f>
        <v>0</v>
      </c>
      <c r="E1244" s="1179">
        <f>bcb!Y38/1000</f>
        <v>0</v>
      </c>
      <c r="F1244" s="1078">
        <v>191</v>
      </c>
      <c r="G1244" s="1078"/>
      <c r="H1244" s="1078">
        <v>215</v>
      </c>
      <c r="I1244" s="1113">
        <v>0</v>
      </c>
      <c r="J1244" s="1113">
        <v>0.05</v>
      </c>
      <c r="K1244" s="1179">
        <f>C1244*(1+$J1244)^3</f>
        <v>0</v>
      </c>
      <c r="L1244" s="1179">
        <f>D1244*(1+$J1244)^3</f>
        <v>0</v>
      </c>
      <c r="M1244" s="1179">
        <f>E1244*(1+$J1244)^3</f>
        <v>0</v>
      </c>
    </row>
    <row r="1245" spans="2:16" x14ac:dyDescent="0.55000000000000004">
      <c r="B1245" s="552" t="s">
        <v>2049</v>
      </c>
      <c r="C1245" s="580">
        <f>G1245/G$1260*C$1260</f>
        <v>9.8947474747474757</v>
      </c>
      <c r="D1245" s="580">
        <f>D1230/1000</f>
        <v>2.689978</v>
      </c>
      <c r="E1245" s="580">
        <f>E1230/1000</f>
        <v>0</v>
      </c>
      <c r="G1245" s="552">
        <f>Quarts!T199</f>
        <v>84</v>
      </c>
      <c r="H1245" s="552"/>
      <c r="K1245" s="580">
        <f>Drivers!K102/1000</f>
        <v>18.142025075501937</v>
      </c>
      <c r="L1245" s="580">
        <f>Drivers!K98/1000</f>
        <v>8.1426177826600004</v>
      </c>
      <c r="M1245" s="580">
        <f>Drivers!K111/1000</f>
        <v>3.3105116214057504</v>
      </c>
    </row>
    <row r="1246" spans="2:16" x14ac:dyDescent="0.55000000000000004">
      <c r="B1246" s="1078" t="s">
        <v>1994</v>
      </c>
      <c r="C1246" s="1081" t="e">
        <f>C1245/C1244</f>
        <v>#DIV/0!</v>
      </c>
      <c r="D1246" s="1081" t="e">
        <f t="shared" ref="D1246:E1246" si="44">D1245/D1244</f>
        <v>#DIV/0!</v>
      </c>
      <c r="E1246" s="1081" t="e">
        <f t="shared" si="44"/>
        <v>#DIV/0!</v>
      </c>
      <c r="F1246" s="1081"/>
      <c r="G1246" s="1081"/>
      <c r="H1246" s="1081"/>
      <c r="I1246" s="1081"/>
      <c r="J1246" s="1081"/>
      <c r="K1246" s="1081" t="e">
        <f>K1245/K1244</f>
        <v>#DIV/0!</v>
      </c>
      <c r="L1246" s="1081" t="e">
        <f t="shared" ref="L1246:M1246" si="45">L1245/L1244</f>
        <v>#DIV/0!</v>
      </c>
      <c r="M1246" s="1081" t="e">
        <f t="shared" si="45"/>
        <v>#DIV/0!</v>
      </c>
    </row>
    <row r="1247" spans="2:16" x14ac:dyDescent="0.55000000000000004">
      <c r="G1247" s="552"/>
      <c r="H1247" s="552"/>
    </row>
    <row r="1248" spans="2:16" x14ac:dyDescent="0.55000000000000004">
      <c r="B1248" s="1176" t="s">
        <v>229</v>
      </c>
      <c r="C1248" s="1177" t="s">
        <v>1201</v>
      </c>
      <c r="D1248" s="1177" t="s">
        <v>1983</v>
      </c>
      <c r="E1248" s="1177" t="s">
        <v>419</v>
      </c>
      <c r="F1248" s="1111"/>
      <c r="G1248" s="1176"/>
      <c r="H1248" s="1176"/>
      <c r="I1248" s="1178"/>
      <c r="J1248" s="1178"/>
      <c r="K1248" s="1177" t="str">
        <f>C1248</f>
        <v>CC</v>
      </c>
      <c r="L1248" s="1177" t="str">
        <f>D1248</f>
        <v>Personal</v>
      </c>
      <c r="M1248" s="1177" t="str">
        <f>E1248</f>
        <v>Payroll</v>
      </c>
    </row>
    <row r="1249" spans="2:16" x14ac:dyDescent="0.55000000000000004">
      <c r="B1249" s="552" t="str">
        <f>B1244</f>
        <v>Market TAM</v>
      </c>
      <c r="C1249" s="580">
        <f>F1249/F1244*C1244</f>
        <v>0</v>
      </c>
      <c r="D1249" s="580">
        <f>D1244*($H$1249/$H$1244)*(1-$I$1249)</f>
        <v>0</v>
      </c>
      <c r="E1249" s="580">
        <f>E1244*($H$1249/$H$1244)*(1-$I$1249)</f>
        <v>0</v>
      </c>
      <c r="F1249" s="552">
        <v>33</v>
      </c>
      <c r="G1249" s="552"/>
      <c r="H1249" s="552">
        <v>130</v>
      </c>
      <c r="I1249" s="575">
        <v>0.2</v>
      </c>
      <c r="J1249" s="575">
        <v>0.15</v>
      </c>
      <c r="K1249" s="580">
        <f>C1249*(1+$J1249)^3</f>
        <v>0</v>
      </c>
      <c r="L1249" s="580">
        <f>D1249*(1+$J1249)^3</f>
        <v>0</v>
      </c>
      <c r="M1249" s="580">
        <f>E1249*(1+$J1249)^3</f>
        <v>0</v>
      </c>
      <c r="P1249" s="567" t="s">
        <v>2037</v>
      </c>
    </row>
    <row r="1250" spans="2:16" x14ac:dyDescent="0.55000000000000004">
      <c r="B1250" s="1078" t="str">
        <f>B1245</f>
        <v>NU net balance (BS)</v>
      </c>
      <c r="C1250" s="1179">
        <f>G1250/G$1260*C$1260</f>
        <v>0.50651683501683509</v>
      </c>
      <c r="D1250" s="1179">
        <f>D1235/1000</f>
        <v>0</v>
      </c>
      <c r="E1250" s="1179">
        <f>E1235/1000</f>
        <v>0</v>
      </c>
      <c r="F1250" s="1078"/>
      <c r="G1250" s="1078">
        <f>Quarts!T200</f>
        <v>4.3</v>
      </c>
      <c r="H1250" s="1078"/>
      <c r="I1250" s="1080"/>
      <c r="J1250" s="1080"/>
      <c r="K1250" s="1179">
        <f>Drivers!K151/1000</f>
        <v>3.3917104757396452</v>
      </c>
      <c r="L1250" s="1179">
        <f>Drivers!K148/1000</f>
        <v>1.10125036511376</v>
      </c>
      <c r="M1250" s="1180">
        <v>0</v>
      </c>
      <c r="P1250" s="567" t="s">
        <v>2039</v>
      </c>
    </row>
    <row r="1251" spans="2:16" x14ac:dyDescent="0.55000000000000004">
      <c r="B1251" s="552" t="str">
        <f>B1246</f>
        <v>share</v>
      </c>
      <c r="C1251" s="611" t="e">
        <f>C1250/C1249</f>
        <v>#DIV/0!</v>
      </c>
      <c r="D1251" s="611" t="e">
        <f t="shared" ref="D1251" si="46">D1250/D1249</f>
        <v>#DIV/0!</v>
      </c>
      <c r="E1251" s="611" t="e">
        <f t="shared" ref="E1251" si="47">E1250/E1249</f>
        <v>#DIV/0!</v>
      </c>
      <c r="F1251" s="611"/>
      <c r="G1251" s="611"/>
      <c r="H1251" s="611"/>
      <c r="I1251" s="611"/>
      <c r="J1251" s="611"/>
      <c r="K1251" s="611" t="e">
        <f>K1250/K1249</f>
        <v>#DIV/0!</v>
      </c>
      <c r="L1251" s="611" t="e">
        <f t="shared" ref="L1251" si="48">L1250/L1249</f>
        <v>#DIV/0!</v>
      </c>
      <c r="M1251" s="611" t="e">
        <f t="shared" ref="M1251" si="49">M1250/M1249</f>
        <v>#DIV/0!</v>
      </c>
      <c r="P1251" s="567" t="s">
        <v>2038</v>
      </c>
    </row>
    <row r="1252" spans="2:16" x14ac:dyDescent="0.55000000000000004">
      <c r="B1252" s="1078"/>
      <c r="C1252" s="1113"/>
      <c r="D1252" s="1113"/>
      <c r="E1252" s="1113"/>
      <c r="F1252" s="1078"/>
      <c r="G1252" s="1078"/>
      <c r="H1252" s="1078"/>
      <c r="I1252" s="1080"/>
      <c r="J1252" s="1080"/>
      <c r="K1252" s="1113"/>
      <c r="L1252" s="1113"/>
      <c r="M1252" s="1113"/>
    </row>
    <row r="1253" spans="2:16" x14ac:dyDescent="0.55000000000000004">
      <c r="B1253" s="574" t="s">
        <v>230</v>
      </c>
      <c r="C1253" s="579" t="s">
        <v>1201</v>
      </c>
      <c r="D1253" s="579" t="s">
        <v>1983</v>
      </c>
      <c r="E1253" s="579" t="s">
        <v>419</v>
      </c>
      <c r="F1253" s="618"/>
      <c r="G1253" s="574"/>
      <c r="H1253" s="574"/>
      <c r="I1253" s="616"/>
      <c r="J1253" s="616"/>
      <c r="K1253" s="579" t="str">
        <f>C1253</f>
        <v>CC</v>
      </c>
      <c r="L1253" s="579" t="str">
        <f>D1253</f>
        <v>Personal</v>
      </c>
      <c r="M1253" s="579" t="str">
        <f>E1253</f>
        <v>Payroll</v>
      </c>
    </row>
    <row r="1254" spans="2:16" x14ac:dyDescent="0.55000000000000004">
      <c r="B1254" s="1078" t="str">
        <f>B1249</f>
        <v>Market TAM</v>
      </c>
      <c r="C1254" s="1179">
        <f>F1254/F1244*C1244</f>
        <v>0</v>
      </c>
      <c r="D1254" s="1179">
        <f>D1244*($H$1254/$H$1244)*(1-$I$1254)</f>
        <v>0</v>
      </c>
      <c r="E1254" s="1179">
        <f>E1244*($H$1254/$H$1244)*(1-$I$1254)</f>
        <v>0</v>
      </c>
      <c r="F1254" s="1078">
        <v>15</v>
      </c>
      <c r="G1254" s="1078"/>
      <c r="H1254" s="1078">
        <v>50</v>
      </c>
      <c r="I1254" s="1113">
        <v>0.4</v>
      </c>
      <c r="J1254" s="1113">
        <v>0.15</v>
      </c>
      <c r="K1254" s="1179">
        <f>C1254*(1+$J1254)^3</f>
        <v>0</v>
      </c>
      <c r="L1254" s="1179">
        <f>D1254*(1+$J1254)^3</f>
        <v>0</v>
      </c>
      <c r="M1254" s="1179">
        <f>E1254*(1+$J1254)^3</f>
        <v>0</v>
      </c>
      <c r="P1254" s="567" t="s">
        <v>2040</v>
      </c>
    </row>
    <row r="1255" spans="2:16" x14ac:dyDescent="0.55000000000000004">
      <c r="B1255" s="552" t="str">
        <f>B1250</f>
        <v>NU net balance (BS)</v>
      </c>
      <c r="C1255" s="580">
        <f>G1255/G$1260*C$1260</f>
        <v>9.4235690235690242E-2</v>
      </c>
      <c r="D1255" s="580">
        <v>0</v>
      </c>
      <c r="E1255" s="580">
        <v>0</v>
      </c>
      <c r="G1255" s="552">
        <f>Quarts!T201</f>
        <v>0.8</v>
      </c>
      <c r="H1255" s="552"/>
      <c r="K1255" s="580">
        <f>Drivers!K182/1000</f>
        <v>0.27157277751479381</v>
      </c>
      <c r="L1255" s="580">
        <f>Drivers!K179/1000</f>
        <v>3.1743588997833277E-2</v>
      </c>
      <c r="M1255" s="1175">
        <v>0</v>
      </c>
    </row>
    <row r="1256" spans="2:16" x14ac:dyDescent="0.55000000000000004">
      <c r="B1256" s="1078" t="str">
        <f>B1251</f>
        <v>share</v>
      </c>
      <c r="C1256" s="1081" t="e">
        <f>C1255/C1259</f>
        <v>#DIV/0!</v>
      </c>
      <c r="D1256" s="1081" t="e">
        <f t="shared" ref="D1256" si="50">D1255/D1254</f>
        <v>#DIV/0!</v>
      </c>
      <c r="E1256" s="1081" t="e">
        <f t="shared" ref="E1256" si="51">E1255/E1254</f>
        <v>#DIV/0!</v>
      </c>
      <c r="F1256" s="1081"/>
      <c r="G1256" s="1081"/>
      <c r="H1256" s="1081"/>
      <c r="I1256" s="1081"/>
      <c r="J1256" s="1081"/>
      <c r="K1256" s="1081" t="e">
        <f>K1255/K1254</f>
        <v>#DIV/0!</v>
      </c>
      <c r="L1256" s="1081" t="e">
        <f t="shared" ref="L1256" si="52">L1255/L1254</f>
        <v>#DIV/0!</v>
      </c>
      <c r="M1256" s="1081" t="e">
        <f t="shared" ref="M1256" si="53">M1255/M1254</f>
        <v>#DIV/0!</v>
      </c>
    </row>
    <row r="1257" spans="2:16" x14ac:dyDescent="0.55000000000000004">
      <c r="G1257" s="552"/>
      <c r="H1257" s="552"/>
    </row>
    <row r="1258" spans="2:16" x14ac:dyDescent="0.55000000000000004">
      <c r="B1258" s="1176" t="s">
        <v>1299</v>
      </c>
      <c r="C1258" s="1177" t="s">
        <v>1201</v>
      </c>
      <c r="D1258" s="1177" t="s">
        <v>1983</v>
      </c>
      <c r="E1258" s="1177" t="s">
        <v>419</v>
      </c>
      <c r="F1258" s="1111"/>
      <c r="G1258" s="1176"/>
      <c r="H1258" s="1176"/>
      <c r="I1258" s="1178"/>
      <c r="J1258" s="1178"/>
      <c r="K1258" s="1177" t="str">
        <f>C1258</f>
        <v>CC</v>
      </c>
      <c r="L1258" s="1177" t="str">
        <f>D1258</f>
        <v>Personal</v>
      </c>
      <c r="M1258" s="1177" t="str">
        <f>E1258</f>
        <v>Payroll</v>
      </c>
    </row>
    <row r="1259" spans="2:16" x14ac:dyDescent="0.55000000000000004">
      <c r="B1259" s="552" t="str">
        <f>B1254</f>
        <v>Market TAM</v>
      </c>
      <c r="C1259" s="580">
        <f>C1244+C1249+C1254</f>
        <v>0</v>
      </c>
      <c r="D1259" s="580">
        <f>D1244+D1249+D1254</f>
        <v>0</v>
      </c>
      <c r="E1259" s="580">
        <f>E1244+E1249+E1254</f>
        <v>0</v>
      </c>
      <c r="G1259" s="552"/>
      <c r="H1259" s="552">
        <f>H1244+H1249+H1254</f>
        <v>395</v>
      </c>
      <c r="K1259" s="580">
        <f>K1244+K1249+K1254</f>
        <v>0</v>
      </c>
      <c r="L1259" s="580">
        <f>L1244+L1249+L1254</f>
        <v>0</v>
      </c>
      <c r="M1259" s="580">
        <f>M1244+M1249+M1254</f>
        <v>0</v>
      </c>
    </row>
    <row r="1260" spans="2:16" x14ac:dyDescent="0.55000000000000004">
      <c r="B1260" s="1078" t="str">
        <f>B1255</f>
        <v>NU net balance (BS)</v>
      </c>
      <c r="C1260" s="1179">
        <f>C1230/1000</f>
        <v>10.4955</v>
      </c>
      <c r="D1260" s="1179">
        <f>D1230/1000</f>
        <v>2.689978</v>
      </c>
      <c r="E1260" s="1179">
        <f>E1230/1000</f>
        <v>0</v>
      </c>
      <c r="F1260" s="1078"/>
      <c r="G1260" s="1078">
        <f>G1245+G1250+G1255</f>
        <v>89.1</v>
      </c>
      <c r="H1260" s="1080"/>
      <c r="I1260" s="1080"/>
      <c r="J1260" s="1080"/>
      <c r="K1260" s="1179">
        <f>Drivers!K39/1000</f>
        <v>21.805308328756375</v>
      </c>
      <c r="L1260" s="1179">
        <f>Drivers!K37/1000</f>
        <v>9.2756117367715945</v>
      </c>
      <c r="M1260" s="1179">
        <f>Drivers!K54/1000</f>
        <v>3.3780730830670924</v>
      </c>
    </row>
    <row r="1261" spans="2:16" x14ac:dyDescent="0.55000000000000004">
      <c r="B1261" s="618" t="str">
        <f>B1256</f>
        <v>share</v>
      </c>
      <c r="C1261" s="612" t="e">
        <f>C1260/C1259</f>
        <v>#DIV/0!</v>
      </c>
      <c r="D1261" s="612" t="e">
        <f t="shared" ref="D1261" si="54">D1260/D1259</f>
        <v>#DIV/0!</v>
      </c>
      <c r="E1261" s="612" t="e">
        <f t="shared" ref="E1261" si="55">E1260/E1259</f>
        <v>#DIV/0!</v>
      </c>
      <c r="F1261" s="612"/>
      <c r="G1261" s="612"/>
      <c r="H1261" s="612"/>
      <c r="I1261" s="612"/>
      <c r="J1261" s="612"/>
      <c r="K1261" s="612" t="e">
        <f>K1260/K1259</f>
        <v>#DIV/0!</v>
      </c>
      <c r="L1261" s="612" t="e">
        <f t="shared" ref="L1261" si="56">L1260/L1259</f>
        <v>#DIV/0!</v>
      </c>
      <c r="M1261" s="612" t="e">
        <f t="shared" ref="M1261" si="57">M1260/M1259</f>
        <v>#DIV/0!</v>
      </c>
    </row>
    <row r="1262" spans="2:16" x14ac:dyDescent="0.55000000000000004">
      <c r="B1262" s="552" t="s">
        <v>2055</v>
      </c>
      <c r="C1262" s="611"/>
      <c r="D1262" s="611"/>
      <c r="E1262" s="611"/>
      <c r="F1262" s="611"/>
      <c r="G1262" s="611"/>
      <c r="H1262" s="611"/>
      <c r="I1262" s="611"/>
      <c r="J1262" s="611"/>
      <c r="K1262" s="611"/>
      <c r="L1262" s="611"/>
      <c r="M1262" s="611"/>
    </row>
    <row r="1265" spans="2:19" x14ac:dyDescent="0.55000000000000004">
      <c r="B1265" s="833" t="s">
        <v>1886</v>
      </c>
    </row>
    <row r="1266" spans="2:19" x14ac:dyDescent="0.55000000000000004">
      <c r="B1266" s="680"/>
      <c r="C1266" s="1317" t="s">
        <v>774</v>
      </c>
      <c r="D1266" s="1317"/>
      <c r="E1266" s="1317"/>
      <c r="F1266" s="1317"/>
      <c r="G1266" s="1317"/>
      <c r="H1266" s="1317" t="s">
        <v>1894</v>
      </c>
      <c r="I1266" s="1317"/>
      <c r="J1266" s="1317"/>
      <c r="K1266" s="1317"/>
      <c r="L1266" s="870"/>
      <c r="M1266" s="680" t="s">
        <v>775</v>
      </c>
      <c r="N1266" s="680" t="s">
        <v>775</v>
      </c>
      <c r="O1266" s="680" t="s">
        <v>775</v>
      </c>
      <c r="P1266" s="680" t="s">
        <v>775</v>
      </c>
      <c r="S1266" s="680"/>
    </row>
    <row r="1267" spans="2:19" x14ac:dyDescent="0.55000000000000004">
      <c r="B1267" s="592" t="s">
        <v>156</v>
      </c>
      <c r="C1267" s="592">
        <v>2023</v>
      </c>
      <c r="D1267" s="592">
        <f>C1267+1</f>
        <v>2024</v>
      </c>
      <c r="E1267" s="592">
        <f>D1267+1</f>
        <v>2025</v>
      </c>
      <c r="F1267" s="592">
        <f>E1267+1</f>
        <v>2026</v>
      </c>
      <c r="G1267" s="592"/>
      <c r="H1267" s="592">
        <f>C1267</f>
        <v>2023</v>
      </c>
      <c r="I1267" s="592">
        <f t="shared" ref="I1267:K1267" si="58">D1267</f>
        <v>2024</v>
      </c>
      <c r="J1267" s="592">
        <f t="shared" si="58"/>
        <v>2025</v>
      </c>
      <c r="K1267" s="592">
        <f t="shared" si="58"/>
        <v>2026</v>
      </c>
      <c r="L1267" s="592"/>
      <c r="M1267" s="592">
        <f>H1267</f>
        <v>2023</v>
      </c>
      <c r="N1267" s="592">
        <f t="shared" ref="N1267:P1267" si="59">I1267</f>
        <v>2024</v>
      </c>
      <c r="O1267" s="592">
        <f t="shared" si="59"/>
        <v>2025</v>
      </c>
      <c r="P1267" s="592">
        <f t="shared" si="59"/>
        <v>2026</v>
      </c>
      <c r="S1267" s="592"/>
    </row>
    <row r="1268" spans="2:19" x14ac:dyDescent="0.55000000000000004">
      <c r="B1268" s="855" t="s">
        <v>356</v>
      </c>
      <c r="C1268" s="856">
        <f>Master!H$4</f>
        <v>8028</v>
      </c>
      <c r="D1268" s="856">
        <f>Master!I$4</f>
        <v>11957.660811218131</v>
      </c>
      <c r="E1268" s="856">
        <f>Master!J$4</f>
        <v>15243.865667997801</v>
      </c>
      <c r="F1268" s="856">
        <f>Master!K$4</f>
        <v>18710.883180114535</v>
      </c>
      <c r="G1268" s="856"/>
      <c r="H1268" s="856">
        <v>7732.8072369424499</v>
      </c>
      <c r="I1268" s="856">
        <v>10023.301010022686</v>
      </c>
      <c r="J1268" s="856">
        <v>12552.755047904211</v>
      </c>
      <c r="K1268" s="856">
        <v>14827.584061151229</v>
      </c>
      <c r="L1268" s="856"/>
      <c r="M1268" s="857">
        <f>C1268/H1268-1</f>
        <v>3.8174074952664894E-2</v>
      </c>
      <c r="N1268" s="857">
        <f>D1268/I1268-1</f>
        <v>0.19298630254256599</v>
      </c>
      <c r="O1268" s="857">
        <f>E1268/J1268-1</f>
        <v>0.21438406228940909</v>
      </c>
      <c r="P1268" s="857">
        <f>F1268/K1268-1</f>
        <v>0.26189695522534118</v>
      </c>
      <c r="S1268" s="631"/>
    </row>
    <row r="1269" spans="2:19" x14ac:dyDescent="0.55000000000000004">
      <c r="B1269" s="871"/>
      <c r="C1269" s="871"/>
      <c r="D1269" s="871"/>
      <c r="E1269" s="871"/>
      <c r="F1269" s="871"/>
      <c r="G1269" s="871"/>
      <c r="H1269" s="871"/>
      <c r="I1269" s="871"/>
      <c r="J1269" s="871"/>
      <c r="K1269" s="871"/>
      <c r="L1269" s="871"/>
      <c r="M1269" s="831"/>
      <c r="N1269" s="831"/>
      <c r="O1269" s="831"/>
      <c r="P1269" s="831"/>
      <c r="S1269" s="831"/>
    </row>
    <row r="1270" spans="2:19" x14ac:dyDescent="0.55000000000000004">
      <c r="B1270" s="858" t="s">
        <v>1074</v>
      </c>
      <c r="C1270" s="856">
        <f>Master!H$5</f>
        <v>6439</v>
      </c>
      <c r="D1270" s="856">
        <f>Master!I$5</f>
        <v>10103.201107666722</v>
      </c>
      <c r="E1270" s="856">
        <f>Master!J$5</f>
        <v>12802.34748502066</v>
      </c>
      <c r="F1270" s="856">
        <f>Master!K$5</f>
        <v>15676.722571018654</v>
      </c>
      <c r="G1270" s="856"/>
      <c r="H1270" s="856">
        <v>6136.3464197242847</v>
      </c>
      <c r="I1270" s="856">
        <v>8015.8005110030226</v>
      </c>
      <c r="J1270" s="856">
        <v>9840.4789014433009</v>
      </c>
      <c r="K1270" s="856">
        <v>11591.160163987488</v>
      </c>
      <c r="L1270" s="856"/>
      <c r="M1270" s="857">
        <f t="shared" ref="M1270:P1271" si="60">C1270/H1270-1</f>
        <v>4.9321462573052477E-2</v>
      </c>
      <c r="N1270" s="857">
        <f t="shared" si="60"/>
        <v>0.26041074672434705</v>
      </c>
      <c r="O1270" s="857">
        <f t="shared" si="60"/>
        <v>0.30098825608405533</v>
      </c>
      <c r="P1270" s="857">
        <f t="shared" si="60"/>
        <v>0.35247225896546386</v>
      </c>
      <c r="S1270" s="631"/>
    </row>
    <row r="1271" spans="2:19" x14ac:dyDescent="0.55000000000000004">
      <c r="B1271" s="563" t="s">
        <v>88</v>
      </c>
      <c r="C1271" s="630">
        <f>Master!H$6</f>
        <v>1589</v>
      </c>
      <c r="D1271" s="630">
        <f>Master!I$6</f>
        <v>1854.4597035514084</v>
      </c>
      <c r="E1271" s="630">
        <f>Master!J$6</f>
        <v>2441.5181829771404</v>
      </c>
      <c r="F1271" s="630">
        <f>Master!K$6</f>
        <v>3034.1606090958821</v>
      </c>
      <c r="G1271" s="630"/>
      <c r="H1271" s="630">
        <v>1596.4608172181649</v>
      </c>
      <c r="I1271" s="630">
        <v>2007.5004990196635</v>
      </c>
      <c r="J1271" s="630">
        <v>2712.2761464609107</v>
      </c>
      <c r="K1271" s="630">
        <v>3236.423897163741</v>
      </c>
      <c r="L1271" s="630"/>
      <c r="M1271" s="631">
        <f t="shared" si="60"/>
        <v>-4.6733481571852309E-3</v>
      </c>
      <c r="N1271" s="631">
        <f t="shared" si="60"/>
        <v>-7.6234499340344097E-2</v>
      </c>
      <c r="O1271" s="631">
        <f t="shared" si="60"/>
        <v>-9.9826842424237117E-2</v>
      </c>
      <c r="P1271" s="631">
        <f t="shared" si="60"/>
        <v>-6.2495919723344451E-2</v>
      </c>
      <c r="S1271" s="631"/>
    </row>
    <row r="1272" spans="2:19" x14ac:dyDescent="0.55000000000000004">
      <c r="B1272" s="858"/>
      <c r="C1272" s="856"/>
      <c r="D1272" s="856"/>
      <c r="E1272" s="856"/>
      <c r="F1272" s="856"/>
      <c r="G1272" s="856"/>
      <c r="H1272" s="856"/>
      <c r="I1272" s="856"/>
      <c r="J1272" s="856"/>
      <c r="K1272" s="856"/>
      <c r="L1272" s="856"/>
      <c r="M1272" s="857"/>
      <c r="N1272" s="857"/>
      <c r="O1272" s="857"/>
      <c r="P1272" s="857"/>
      <c r="S1272" s="631"/>
    </row>
    <row r="1273" spans="2:19" x14ac:dyDescent="0.55000000000000004">
      <c r="B1273" s="563" t="s">
        <v>89</v>
      </c>
      <c r="C1273" s="630">
        <f>Master!H$8</f>
        <v>-2036</v>
      </c>
      <c r="D1273" s="630">
        <f>Master!I$8</f>
        <v>-2844.4204600881767</v>
      </c>
      <c r="E1273" s="630">
        <f>Master!J$8</f>
        <v>-3461.6073036878447</v>
      </c>
      <c r="F1273" s="630">
        <f>Master!K$8</f>
        <v>-4006.2684307533441</v>
      </c>
      <c r="G1273" s="630"/>
      <c r="H1273" s="630">
        <v>-1869.5716505708156</v>
      </c>
      <c r="I1273" s="630">
        <v>-1868.1948063999262</v>
      </c>
      <c r="J1273" s="630">
        <v>-1921.4462352435539</v>
      </c>
      <c r="K1273" s="630">
        <v>-2208.6217994389854</v>
      </c>
      <c r="L1273" s="630"/>
      <c r="M1273" s="631">
        <f t="shared" ref="M1273:P1275" si="61">C1273/H1273-1</f>
        <v>8.9019508494563748E-2</v>
      </c>
      <c r="N1273" s="631">
        <f t="shared" si="61"/>
        <v>0.52255024494446056</v>
      </c>
      <c r="O1273" s="631">
        <f t="shared" si="61"/>
        <v>0.80156344746698927</v>
      </c>
      <c r="P1273" s="631">
        <f t="shared" si="61"/>
        <v>0.81392234368554228</v>
      </c>
      <c r="S1273" s="631"/>
    </row>
    <row r="1274" spans="2:19" x14ac:dyDescent="0.55000000000000004">
      <c r="B1274" s="858" t="s">
        <v>599</v>
      </c>
      <c r="C1274" s="856">
        <f>Master!H$10</f>
        <v>-215</v>
      </c>
      <c r="D1274" s="856">
        <f>Master!I$10</f>
        <v>-268.75</v>
      </c>
      <c r="E1274" s="856">
        <f>Master!J$10</f>
        <v>-349.375</v>
      </c>
      <c r="F1274" s="856">
        <f>Master!K$10</f>
        <v>-442.25346130044193</v>
      </c>
      <c r="G1274" s="856"/>
      <c r="H1274" s="856">
        <v>-217.5</v>
      </c>
      <c r="I1274" s="856">
        <v>-282.75</v>
      </c>
      <c r="J1274" s="856">
        <v>-325.16249999999997</v>
      </c>
      <c r="K1274" s="856">
        <v>-487.74374999999998</v>
      </c>
      <c r="L1274" s="856"/>
      <c r="M1274" s="857">
        <f t="shared" si="61"/>
        <v>-1.1494252873563204E-2</v>
      </c>
      <c r="N1274" s="857">
        <f t="shared" si="61"/>
        <v>-4.9513704686118487E-2</v>
      </c>
      <c r="O1274" s="857">
        <f t="shared" si="61"/>
        <v>7.4462768615692232E-2</v>
      </c>
      <c r="P1274" s="857">
        <f t="shared" si="61"/>
        <v>-9.326677932737848E-2</v>
      </c>
      <c r="S1274" s="631"/>
    </row>
    <row r="1275" spans="2:19" x14ac:dyDescent="0.55000000000000004">
      <c r="B1275" s="563" t="s">
        <v>90</v>
      </c>
      <c r="C1275" s="630">
        <f>Master!H$12</f>
        <v>-2285</v>
      </c>
      <c r="D1275" s="630">
        <f>Master!I$12</f>
        <v>-3397.7659999999996</v>
      </c>
      <c r="E1275" s="630">
        <f>Master!J$12</f>
        <v>-4216.4800000000005</v>
      </c>
      <c r="F1275" s="630">
        <f>Master!K$12</f>
        <v>-5153.5</v>
      </c>
      <c r="G1275" s="630"/>
      <c r="H1275" s="630">
        <v>-2462.84</v>
      </c>
      <c r="I1275" s="630">
        <v>-3307.16</v>
      </c>
      <c r="J1275" s="630">
        <v>-3957.8399999999997</v>
      </c>
      <c r="K1275" s="630">
        <v>-4382.16</v>
      </c>
      <c r="L1275" s="630"/>
      <c r="M1275" s="631">
        <f t="shared" si="61"/>
        <v>-7.2209319322408372E-2</v>
      </c>
      <c r="N1275" s="631">
        <f t="shared" si="61"/>
        <v>2.739692062071386E-2</v>
      </c>
      <c r="O1275" s="631">
        <f t="shared" si="61"/>
        <v>6.5348776100095263E-2</v>
      </c>
      <c r="P1275" s="631">
        <f t="shared" si="61"/>
        <v>0.17601821932562944</v>
      </c>
      <c r="S1275" s="631"/>
    </row>
    <row r="1276" spans="2:19" x14ac:dyDescent="0.55000000000000004">
      <c r="B1276" s="858"/>
      <c r="C1276" s="856"/>
      <c r="D1276" s="856"/>
      <c r="E1276" s="856"/>
      <c r="F1276" s="856"/>
      <c r="G1276" s="856"/>
      <c r="H1276" s="856"/>
      <c r="I1276" s="856"/>
      <c r="J1276" s="856"/>
      <c r="K1276" s="856"/>
      <c r="L1276" s="856"/>
      <c r="M1276" s="857"/>
      <c r="N1276" s="857"/>
      <c r="O1276" s="857"/>
      <c r="P1276" s="857"/>
      <c r="S1276" s="631"/>
    </row>
    <row r="1277" spans="2:19" x14ac:dyDescent="0.55000000000000004">
      <c r="B1277" s="569" t="s">
        <v>414</v>
      </c>
      <c r="C1277" s="1147">
        <f>C1270+C1273</f>
        <v>4403</v>
      </c>
      <c r="D1277" s="1147">
        <f t="shared" ref="D1277:F1277" si="62">D1270+D1273</f>
        <v>7258.7806475785455</v>
      </c>
      <c r="E1277" s="1147">
        <f t="shared" si="62"/>
        <v>9340.7401813328161</v>
      </c>
      <c r="F1277" s="1147">
        <f t="shared" si="62"/>
        <v>11670.45414026531</v>
      </c>
      <c r="G1277" s="1147"/>
      <c r="H1277" s="1147">
        <f>H1270+H1273</f>
        <v>4266.7747691534696</v>
      </c>
      <c r="I1277" s="1147">
        <f t="shared" ref="I1277:K1277" si="63">I1270+I1273</f>
        <v>6147.6057046030965</v>
      </c>
      <c r="J1277" s="1147">
        <f t="shared" si="63"/>
        <v>7919.0326661997469</v>
      </c>
      <c r="K1277" s="1147">
        <f t="shared" si="63"/>
        <v>9382.5383645485017</v>
      </c>
      <c r="L1277" s="1147"/>
      <c r="M1277" s="832">
        <f t="shared" ref="M1277" si="64">C1277/H1277-1</f>
        <v>3.1926979561088364E-2</v>
      </c>
      <c r="N1277" s="832">
        <f t="shared" ref="N1277" si="65">D1277/I1277-1</f>
        <v>0.18074922113879932</v>
      </c>
      <c r="O1277" s="832">
        <f t="shared" ref="O1277" si="66">E1277/J1277-1</f>
        <v>0.17953045214742502</v>
      </c>
      <c r="P1277" s="832">
        <f t="shared" ref="P1277" si="67">F1277/K1277-1</f>
        <v>0.24384827291104871</v>
      </c>
      <c r="S1277" s="631"/>
    </row>
    <row r="1278" spans="2:19" x14ac:dyDescent="0.55000000000000004">
      <c r="B1278" s="858"/>
      <c r="C1278" s="856"/>
      <c r="D1278" s="856"/>
      <c r="E1278" s="856"/>
      <c r="F1278" s="856"/>
      <c r="G1278" s="856"/>
      <c r="H1278" s="856"/>
      <c r="I1278" s="856"/>
      <c r="J1278" s="856"/>
      <c r="K1278" s="856"/>
      <c r="L1278" s="856"/>
      <c r="M1278" s="857"/>
      <c r="N1278" s="857"/>
      <c r="O1278" s="857"/>
      <c r="P1278" s="857"/>
      <c r="S1278" s="631"/>
    </row>
    <row r="1279" spans="2:19" x14ac:dyDescent="0.55000000000000004">
      <c r="B1279" s="569" t="s">
        <v>1242</v>
      </c>
      <c r="C1279" s="1147">
        <f>C1268+C1273+C1274+C1275</f>
        <v>3492</v>
      </c>
      <c r="D1279" s="1147">
        <f t="shared" ref="D1279:F1279" si="68">D1268+D1273+D1274+D1275</f>
        <v>5446.7243511299548</v>
      </c>
      <c r="E1279" s="1147">
        <f t="shared" si="68"/>
        <v>7216.4033643099565</v>
      </c>
      <c r="F1279" s="1147">
        <f t="shared" si="68"/>
        <v>9108.8612880607488</v>
      </c>
      <c r="G1279" s="1147"/>
      <c r="H1279" s="1147">
        <f>H1268+H1273+H1274+H1275</f>
        <v>3182.8955863716346</v>
      </c>
      <c r="I1279" s="1147">
        <f t="shared" ref="I1279:K1279" si="69">I1268+I1273+I1274+I1275</f>
        <v>4565.1962036227596</v>
      </c>
      <c r="J1279" s="1147">
        <f t="shared" si="69"/>
        <v>6348.3063126606557</v>
      </c>
      <c r="K1279" s="1147">
        <f t="shared" si="69"/>
        <v>7749.0585117122446</v>
      </c>
      <c r="L1279" s="1147"/>
      <c r="M1279" s="832">
        <f>C1279/H1279-1</f>
        <v>9.7114217303223338E-2</v>
      </c>
      <c r="N1279" s="832">
        <f>D1279/I1279-1</f>
        <v>0.19309753802205676</v>
      </c>
      <c r="O1279" s="832">
        <f>E1279/J1279-1</f>
        <v>0.1367446699788295</v>
      </c>
      <c r="P1279" s="832">
        <f>F1279/K1279-1</f>
        <v>0.17547974044759673</v>
      </c>
      <c r="S1279" s="832"/>
    </row>
    <row r="1280" spans="2:19" x14ac:dyDescent="0.55000000000000004">
      <c r="B1280" s="877"/>
      <c r="C1280" s="878"/>
      <c r="D1280" s="878"/>
      <c r="E1280" s="878"/>
      <c r="F1280" s="878"/>
      <c r="G1280" s="878"/>
      <c r="H1280" s="878"/>
      <c r="I1280" s="878"/>
      <c r="J1280" s="878"/>
      <c r="K1280" s="878"/>
      <c r="L1280" s="878"/>
      <c r="M1280" s="1146"/>
      <c r="N1280" s="1146"/>
      <c r="O1280" s="1146"/>
      <c r="P1280" s="1146"/>
      <c r="S1280" s="831"/>
    </row>
    <row r="1281" spans="2:19" x14ac:dyDescent="0.55000000000000004">
      <c r="B1281" s="563" t="s">
        <v>476</v>
      </c>
      <c r="C1281" s="630">
        <f>Master!H$53</f>
        <v>1541</v>
      </c>
      <c r="D1281" s="630">
        <f>Master!I$53</f>
        <v>2853.2988885854934</v>
      </c>
      <c r="E1281" s="630">
        <f>Master!J$53</f>
        <v>4207.9742403941673</v>
      </c>
      <c r="F1281" s="630">
        <f>Master!K$53</f>
        <v>5617.0463387306536</v>
      </c>
      <c r="G1281" s="630"/>
      <c r="H1281" s="630">
        <v>1297.1388337315589</v>
      </c>
      <c r="I1281" s="630">
        <v>2182.2255762477103</v>
      </c>
      <c r="J1281" s="630">
        <v>3457.7439510282611</v>
      </c>
      <c r="K1281" s="630">
        <v>4426.9834743411175</v>
      </c>
      <c r="L1281" s="630"/>
      <c r="M1281" s="631">
        <f>C1281/H1281-1</f>
        <v>0.18799927958899421</v>
      </c>
      <c r="N1281" s="631">
        <f>D1281/I1281-1</f>
        <v>0.30751784766984502</v>
      </c>
      <c r="O1281" s="631">
        <f>E1281/J1281-1</f>
        <v>0.21697103660402717</v>
      </c>
      <c r="P1281" s="631">
        <f>F1281/K1281-1</f>
        <v>0.26882026356934996</v>
      </c>
      <c r="S1281" s="831"/>
    </row>
    <row r="1282" spans="2:19" x14ac:dyDescent="0.55000000000000004">
      <c r="B1282" s="878"/>
      <c r="C1282" s="878"/>
      <c r="D1282" s="878"/>
      <c r="E1282" s="878"/>
      <c r="F1282" s="878"/>
      <c r="G1282" s="878"/>
      <c r="H1282" s="878"/>
      <c r="I1282" s="878"/>
      <c r="J1282" s="878"/>
      <c r="K1282" s="878"/>
      <c r="L1282" s="878"/>
      <c r="M1282" s="1146"/>
      <c r="N1282" s="1146"/>
      <c r="O1282" s="1146"/>
      <c r="P1282" s="1146"/>
      <c r="S1282" s="831"/>
    </row>
    <row r="1283" spans="2:19" hidden="1" outlineLevel="1" x14ac:dyDescent="0.55000000000000004">
      <c r="B1283" s="627" t="s">
        <v>14</v>
      </c>
      <c r="C1283" s="627">
        <f>Master!H$62</f>
        <v>1033</v>
      </c>
      <c r="D1283" s="627">
        <f>Master!I$62</f>
        <v>1941.3195554341974</v>
      </c>
      <c r="E1283" s="627">
        <f>Master!J$62</f>
        <v>2819.342741064092</v>
      </c>
      <c r="F1283" s="627">
        <f>Master!K$62</f>
        <v>3763.4210469495379</v>
      </c>
      <c r="G1283" s="627"/>
      <c r="H1283" s="627">
        <v>874.28470843288972</v>
      </c>
      <c r="I1283" s="627">
        <v>1472.8902304990841</v>
      </c>
      <c r="J1283" s="627">
        <v>2316.6884471889348</v>
      </c>
      <c r="K1283" s="627">
        <v>2966.0789278085485</v>
      </c>
      <c r="L1283" s="627"/>
      <c r="M1283" s="628">
        <f>C1283/H1283-1</f>
        <v>0.18153730705367055</v>
      </c>
      <c r="N1283" s="628">
        <f>D1283/I1283-1</f>
        <v>0.31803410412762911</v>
      </c>
      <c r="O1283" s="628">
        <f>E1283/J1283-1</f>
        <v>0.21697103660402717</v>
      </c>
      <c r="P1283" s="628">
        <f>F1283/K1283-1</f>
        <v>0.26882026356935018</v>
      </c>
      <c r="S1283" s="628"/>
    </row>
    <row r="1284" spans="2:19" hidden="1" outlineLevel="1" x14ac:dyDescent="0.55000000000000004">
      <c r="B1284" s="878"/>
      <c r="C1284" s="878"/>
      <c r="D1284" s="878"/>
      <c r="E1284" s="878"/>
      <c r="F1284" s="878"/>
      <c r="G1284" s="878"/>
      <c r="H1284" s="878"/>
      <c r="I1284" s="878"/>
      <c r="J1284" s="878"/>
      <c r="K1284" s="878"/>
      <c r="L1284" s="878"/>
      <c r="M1284" s="1146"/>
      <c r="N1284" s="1146"/>
      <c r="O1284" s="1146"/>
      <c r="P1284" s="1146"/>
      <c r="S1284" s="831"/>
    </row>
    <row r="1285" spans="2:19" collapsed="1" x14ac:dyDescent="0.55000000000000004">
      <c r="B1285" s="569" t="s">
        <v>777</v>
      </c>
      <c r="C1285" s="1147">
        <f>C1287+C1289</f>
        <v>15616</v>
      </c>
      <c r="D1285" s="1147">
        <f>D1287+D1289</f>
        <v>18931.525772778845</v>
      </c>
      <c r="E1285" s="1147">
        <f>E1287+E1289</f>
        <v>24610.966651964809</v>
      </c>
      <c r="F1285" s="1147">
        <f>F1287+F1289</f>
        <v>31080.920065527971</v>
      </c>
      <c r="G1285" s="1147"/>
      <c r="H1285" s="1147">
        <v>15291.799957861384</v>
      </c>
      <c r="I1285" s="1147">
        <v>20732.457611271278</v>
      </c>
      <c r="J1285" s="1147">
        <v>25933.257246574743</v>
      </c>
      <c r="K1285" s="1147">
        <v>30844.969486373033</v>
      </c>
      <c r="L1285" s="1147"/>
      <c r="M1285" s="832">
        <f>C1285/H1285-1</f>
        <v>2.1200907874285191E-2</v>
      </c>
      <c r="N1285" s="832">
        <f>D1285/I1285-1</f>
        <v>-8.6865333201663009E-2</v>
      </c>
      <c r="O1285" s="832">
        <f>E1285/J1285-1</f>
        <v>-5.0988218797103912E-2</v>
      </c>
      <c r="P1285" s="832">
        <f>F1285/K1285-1</f>
        <v>7.6495643563265769E-3</v>
      </c>
      <c r="S1285" s="631"/>
    </row>
    <row r="1286" spans="2:19" x14ac:dyDescent="0.55000000000000004">
      <c r="B1286" s="858"/>
      <c r="C1286" s="864"/>
      <c r="D1286" s="864"/>
      <c r="E1286" s="864"/>
      <c r="F1286" s="864"/>
      <c r="G1286" s="864"/>
      <c r="H1286" s="856"/>
      <c r="I1286" s="856"/>
      <c r="J1286" s="856"/>
      <c r="K1286" s="856"/>
      <c r="L1286" s="856"/>
      <c r="M1286" s="857"/>
      <c r="N1286" s="857"/>
      <c r="O1286" s="857"/>
      <c r="P1286" s="857"/>
      <c r="S1286" s="631"/>
    </row>
    <row r="1287" spans="2:19" x14ac:dyDescent="0.55000000000000004">
      <c r="B1287" s="595" t="s">
        <v>106</v>
      </c>
      <c r="C1287" s="651">
        <f>Master!H$193</f>
        <v>12414</v>
      </c>
      <c r="D1287" s="651">
        <f>Master!I$193</f>
        <v>13815.930217466615</v>
      </c>
      <c r="E1287" s="651">
        <f>Master!J$193</f>
        <v>17490.813710703274</v>
      </c>
      <c r="F1287" s="651">
        <f>Master!K$193</f>
        <v>21805.308328756375</v>
      </c>
      <c r="G1287" s="651"/>
      <c r="H1287" s="630">
        <v>12218.016153236456</v>
      </c>
      <c r="I1287" s="630">
        <v>16387.137596849418</v>
      </c>
      <c r="J1287" s="630">
        <v>19903.781491858783</v>
      </c>
      <c r="K1287" s="630">
        <v>22911.326359461033</v>
      </c>
      <c r="L1287" s="630"/>
      <c r="M1287" s="631">
        <f>C1287/H1287-1</f>
        <v>1.6040562093350141E-2</v>
      </c>
      <c r="N1287" s="631">
        <f>D1287/I1287-1</f>
        <v>-0.15690399645372732</v>
      </c>
      <c r="O1287" s="631">
        <f>E1287/J1287-1</f>
        <v>-0.12123162536438015</v>
      </c>
      <c r="P1287" s="631">
        <f>F1287/K1287-1</f>
        <v>-4.8273854309090924E-2</v>
      </c>
      <c r="S1287" s="631"/>
    </row>
    <row r="1288" spans="2:19" x14ac:dyDescent="0.55000000000000004">
      <c r="B1288" s="858"/>
      <c r="C1288" s="864"/>
      <c r="D1288" s="864"/>
      <c r="E1288" s="864"/>
      <c r="F1288" s="864"/>
      <c r="G1288" s="864"/>
      <c r="H1288" s="856"/>
      <c r="I1288" s="856"/>
      <c r="J1288" s="856"/>
      <c r="K1288" s="856"/>
      <c r="L1288" s="856"/>
      <c r="M1288" s="857"/>
      <c r="N1288" s="857"/>
      <c r="O1288" s="857"/>
      <c r="P1288" s="857"/>
      <c r="S1288" s="631"/>
    </row>
    <row r="1289" spans="2:19" x14ac:dyDescent="0.55000000000000004">
      <c r="B1289" s="595" t="s">
        <v>107</v>
      </c>
      <c r="C1289" s="651">
        <f>Master!H$194</f>
        <v>3202</v>
      </c>
      <c r="D1289" s="651">
        <f>Master!I$194</f>
        <v>5115.5955553122285</v>
      </c>
      <c r="E1289" s="651">
        <f>Master!J$194</f>
        <v>7120.1529412615355</v>
      </c>
      <c r="F1289" s="651">
        <f>Master!K$194</f>
        <v>9275.6117367715942</v>
      </c>
      <c r="G1289" s="651"/>
      <c r="H1289" s="630">
        <v>3073.7838046249276</v>
      </c>
      <c r="I1289" s="630">
        <v>4345.3200144218608</v>
      </c>
      <c r="J1289" s="630">
        <v>6029.4757547159606</v>
      </c>
      <c r="K1289" s="630">
        <v>7933.6431269120003</v>
      </c>
      <c r="L1289" s="630"/>
      <c r="M1289" s="631">
        <f>C1289/H1289-1</f>
        <v>4.1712821566095126E-2</v>
      </c>
      <c r="N1289" s="631">
        <f>D1289/I1289-1</f>
        <v>0.17726554967962516</v>
      </c>
      <c r="O1289" s="631">
        <f>E1289/J1289-1</f>
        <v>0.18089088188015356</v>
      </c>
      <c r="P1289" s="631">
        <f>F1289/K1289-1</f>
        <v>0.16914910191856913</v>
      </c>
      <c r="S1289" s="631"/>
    </row>
    <row r="1290" spans="2:19" x14ac:dyDescent="0.55000000000000004">
      <c r="B1290" s="878"/>
      <c r="C1290" s="878"/>
      <c r="D1290" s="878"/>
      <c r="E1290" s="878"/>
      <c r="F1290" s="878"/>
      <c r="G1290" s="878"/>
      <c r="H1290" s="878"/>
      <c r="I1290" s="878"/>
      <c r="J1290" s="878"/>
      <c r="K1290" s="878"/>
      <c r="L1290" s="878"/>
      <c r="M1290" s="1146"/>
      <c r="N1290" s="1146"/>
      <c r="O1290" s="1146"/>
      <c r="P1290" s="1146"/>
      <c r="S1290" s="831"/>
    </row>
    <row r="1291" spans="2:19" x14ac:dyDescent="0.55000000000000004">
      <c r="B1291" s="626" t="s">
        <v>779</v>
      </c>
      <c r="C1291" s="1148">
        <f>'Revenue and Expenses breakdown'!G$46</f>
        <v>148</v>
      </c>
      <c r="D1291" s="1148">
        <f>'Revenue and Expenses breakdown'!H$46</f>
        <v>215.98833333333334</v>
      </c>
      <c r="E1291" s="1148">
        <f>'Revenue and Expenses breakdown'!I$46</f>
        <v>282.94759712230217</v>
      </c>
      <c r="F1291" s="1148">
        <f>'Revenue and Expenses breakdown'!J$46</f>
        <v>359.08028776978409</v>
      </c>
      <c r="G1291" s="651"/>
      <c r="H1291" s="627">
        <v>166.13757176841568</v>
      </c>
      <c r="I1291" s="627">
        <v>231.51684240564978</v>
      </c>
      <c r="J1291" s="627">
        <v>322.71638885492803</v>
      </c>
      <c r="K1291" s="627">
        <v>408.90396886596193</v>
      </c>
      <c r="L1291" s="627"/>
      <c r="M1291" s="628">
        <f>C1291/H1291-1</f>
        <v>-0.10917200471485289</v>
      </c>
      <c r="N1291" s="628">
        <f>D1291/I1291-1</f>
        <v>-6.7072913188355954E-2</v>
      </c>
      <c r="O1291" s="628">
        <f>E1291/J1291-1</f>
        <v>-0.12323139792724713</v>
      </c>
      <c r="P1291" s="628">
        <f>F1291/K1291-1</f>
        <v>-0.12184690022539246</v>
      </c>
      <c r="S1291" s="628"/>
    </row>
    <row r="1292" spans="2:19" x14ac:dyDescent="0.55000000000000004">
      <c r="B1292" s="878"/>
      <c r="C1292" s="878"/>
      <c r="D1292" s="878"/>
      <c r="E1292" s="878"/>
      <c r="F1292" s="878"/>
      <c r="G1292" s="878"/>
      <c r="H1292" s="878"/>
      <c r="I1292" s="878"/>
      <c r="J1292" s="878"/>
      <c r="K1292" s="878"/>
      <c r="L1292" s="878"/>
      <c r="M1292" s="1146"/>
      <c r="N1292" s="1146"/>
      <c r="O1292" s="1146"/>
      <c r="P1292" s="1146"/>
      <c r="S1292" s="831"/>
    </row>
    <row r="1293" spans="2:19" x14ac:dyDescent="0.55000000000000004">
      <c r="B1293" s="854" t="s">
        <v>778</v>
      </c>
      <c r="C1293" s="868">
        <f>Valuation!G$9</f>
        <v>12.872860427950721</v>
      </c>
      <c r="D1293" s="862"/>
      <c r="E1293" s="862"/>
      <c r="F1293" s="862"/>
      <c r="G1293" s="862"/>
      <c r="H1293" s="869">
        <v>8.0563731560657796</v>
      </c>
      <c r="I1293" s="862"/>
      <c r="J1293" s="862"/>
      <c r="K1293" s="862"/>
      <c r="L1293" s="862"/>
      <c r="M1293" s="863"/>
      <c r="N1293" s="863"/>
      <c r="O1293" s="863"/>
      <c r="P1293" s="863"/>
      <c r="S1293" s="628"/>
    </row>
    <row r="1296" spans="2:19" x14ac:dyDescent="0.55000000000000004">
      <c r="B1296" s="552" t="s">
        <v>1892</v>
      </c>
      <c r="C1296" s="567"/>
      <c r="D1296" s="567"/>
      <c r="E1296" s="567"/>
      <c r="F1296" s="567"/>
    </row>
    <row r="1297" spans="2:14" x14ac:dyDescent="0.55000000000000004">
      <c r="C1297" s="567"/>
      <c r="D1297" s="567"/>
      <c r="E1297" s="567"/>
      <c r="F1297" s="567"/>
    </row>
    <row r="1298" spans="2:14" x14ac:dyDescent="0.55000000000000004">
      <c r="B1298" s="574" t="s">
        <v>1893</v>
      </c>
      <c r="C1298" s="579" t="str">
        <f>Quarts!M2</f>
        <v>Q1 22</v>
      </c>
      <c r="D1298" s="579" t="str">
        <f>Quarts!N2</f>
        <v>Q2 22</v>
      </c>
      <c r="E1298" s="579" t="str">
        <f>Quarts!O2</f>
        <v>Q3 22</v>
      </c>
      <c r="F1298" s="579" t="str">
        <f>Quarts!P2</f>
        <v>Q4 22</v>
      </c>
      <c r="G1298" s="579" t="str">
        <f>Quarts!R2</f>
        <v>Q1 23</v>
      </c>
      <c r="H1298" s="579" t="str">
        <f>Quarts!S2</f>
        <v>Q2 23</v>
      </c>
      <c r="I1298" s="579" t="str">
        <f>Quarts!T2</f>
        <v>Q3 23</v>
      </c>
      <c r="J1298" s="579" t="e">
        <f>Quarts!#REF!</f>
        <v>#REF!</v>
      </c>
      <c r="K1298" s="579" t="str">
        <f>Quarts!W2</f>
        <v>Q1 24</v>
      </c>
      <c r="L1298" s="579" t="e">
        <f>Quarts!#REF!</f>
        <v>#REF!</v>
      </c>
      <c r="M1298" s="579" t="str">
        <f>Quarts!Y2</f>
        <v>Q3 24E</v>
      </c>
      <c r="N1298" s="579" t="str">
        <f>Quarts!Z2</f>
        <v>Q4 24E</v>
      </c>
    </row>
    <row r="1299" spans="2:14" x14ac:dyDescent="0.55000000000000004">
      <c r="B1299" s="552" t="s">
        <v>345</v>
      </c>
      <c r="C1299" s="568">
        <f>Quarts!M273</f>
        <v>2894.0481</v>
      </c>
      <c r="D1299" s="568">
        <f>Quarts!N273</f>
        <v>4527.5922000000028</v>
      </c>
      <c r="E1299" s="568">
        <f>Quarts!O273</f>
        <v>3766.4801939999961</v>
      </c>
      <c r="F1299" s="568">
        <f>Quarts!P273</f>
        <v>5627.0076060000065</v>
      </c>
      <c r="G1299" s="568">
        <f>Quarts!R273</f>
        <v>2869.2399999999907</v>
      </c>
      <c r="H1299" s="568">
        <f>Quarts!S273</f>
        <v>3419.0400000000009</v>
      </c>
      <c r="I1299" s="568">
        <f>Quarts!T273</f>
        <v>3138.8000000000029</v>
      </c>
      <c r="J1299" s="568" t="e">
        <f>Quarts!#REF!</f>
        <v>#REF!</v>
      </c>
      <c r="K1299" s="568">
        <f>Quarts!W273</f>
        <v>3779.4270000000033</v>
      </c>
      <c r="L1299" s="568">
        <v>3750</v>
      </c>
      <c r="M1299" s="568">
        <v>4000</v>
      </c>
      <c r="N1299" s="568">
        <f>Quarts!Z273</f>
        <v>4756.6861960663955</v>
      </c>
    </row>
    <row r="1300" spans="2:14" x14ac:dyDescent="0.55000000000000004">
      <c r="B1300" s="552" t="s">
        <v>218</v>
      </c>
      <c r="C1300" s="568">
        <f>Quarts!M274</f>
        <v>1239.5584020000006</v>
      </c>
      <c r="D1300" s="568">
        <f>Quarts!N274</f>
        <v>913.00175999999919</v>
      </c>
      <c r="E1300" s="568">
        <f>Quarts!O274</f>
        <v>-132.96663249999983</v>
      </c>
      <c r="F1300" s="568">
        <f>Quarts!P274</f>
        <v>151.82487250000122</v>
      </c>
      <c r="G1300" s="568">
        <f>Quarts!R274</f>
        <v>1387.7599999999984</v>
      </c>
      <c r="H1300" s="568">
        <f>Quarts!S274</f>
        <v>1432.8700000000008</v>
      </c>
      <c r="I1300" s="568">
        <f>Quarts!T274</f>
        <v>1903.4191200000005</v>
      </c>
      <c r="J1300" s="568" t="e">
        <f>Quarts!#REF!</f>
        <v>#REF!</v>
      </c>
      <c r="K1300" s="568">
        <f>Quarts!W274</f>
        <v>3796.9199999999983</v>
      </c>
      <c r="L1300" s="568" t="e">
        <f>Quarts!#REF!</f>
        <v>#REF!</v>
      </c>
      <c r="M1300" s="568">
        <f>Quarts!Y274</f>
        <v>3000</v>
      </c>
      <c r="N1300" s="568">
        <f>Quarts!Z274</f>
        <v>2731.0555542172551</v>
      </c>
    </row>
    <row r="1301" spans="2:14" x14ac:dyDescent="0.55000000000000004">
      <c r="B1301" s="552" t="s">
        <v>419</v>
      </c>
      <c r="C1301" s="568">
        <f>Quarts!M275</f>
        <v>0</v>
      </c>
      <c r="D1301" s="568">
        <f>Quarts!N275</f>
        <v>0</v>
      </c>
      <c r="E1301" s="568">
        <f>Quarts!O275</f>
        <v>0</v>
      </c>
      <c r="F1301" s="568">
        <f>Quarts!P275</f>
        <v>0</v>
      </c>
      <c r="G1301" s="568">
        <f>Quarts!R275</f>
        <v>0</v>
      </c>
      <c r="H1301" s="568">
        <f>Quarts!S275</f>
        <v>0</v>
      </c>
      <c r="I1301" s="568">
        <f>Quarts!T275</f>
        <v>0</v>
      </c>
      <c r="J1301" s="568" t="e">
        <f>Quarts!#REF!</f>
        <v>#REF!</v>
      </c>
      <c r="K1301" s="568">
        <f>Quarts!W275</f>
        <v>0</v>
      </c>
      <c r="L1301" s="568" t="e">
        <f>Quarts!#REF!</f>
        <v>#REF!</v>
      </c>
      <c r="M1301" s="568">
        <f>Quarts!Y275</f>
        <v>350</v>
      </c>
      <c r="N1301" s="568">
        <f>Quarts!Z275</f>
        <v>531.29552715654938</v>
      </c>
    </row>
    <row r="1302" spans="2:14" x14ac:dyDescent="0.55000000000000004">
      <c r="B1302" s="552" t="s">
        <v>1895</v>
      </c>
      <c r="I1302" s="567">
        <f>175*5</f>
        <v>875</v>
      </c>
    </row>
    <row r="1325" spans="2:12" x14ac:dyDescent="0.55000000000000004">
      <c r="B1325" s="552" t="s">
        <v>449</v>
      </c>
    </row>
    <row r="1326" spans="2:12" x14ac:dyDescent="0.55000000000000004">
      <c r="H1326" s="567" t="s">
        <v>347</v>
      </c>
      <c r="L1326" s="567" t="s">
        <v>1985</v>
      </c>
    </row>
    <row r="1327" spans="2:12" x14ac:dyDescent="0.55000000000000004">
      <c r="B1327" s="1110"/>
      <c r="C1327" s="1110" t="s">
        <v>1982</v>
      </c>
      <c r="D1327" s="1110" t="s">
        <v>449</v>
      </c>
      <c r="E1327" s="1110" t="s">
        <v>1201</v>
      </c>
      <c r="F1327" s="1110" t="s">
        <v>1983</v>
      </c>
      <c r="H1327" s="608"/>
      <c r="L1327" s="608"/>
    </row>
    <row r="1328" spans="2:12" x14ac:dyDescent="0.55000000000000004">
      <c r="B1328" s="567" t="s">
        <v>228</v>
      </c>
      <c r="C1328" s="552">
        <f>Quarts!T199</f>
        <v>84</v>
      </c>
      <c r="D1328" s="568">
        <f>E1328+F1328</f>
        <v>14290.977999999999</v>
      </c>
      <c r="E1328" s="568">
        <v>11200</v>
      </c>
      <c r="F1328" s="568">
        <f>F1331-F1330-F1329</f>
        <v>3090.9780000000001</v>
      </c>
      <c r="K1328" s="567" t="s">
        <v>228</v>
      </c>
      <c r="L1328" s="567" t="s">
        <v>1987</v>
      </c>
    </row>
    <row r="1329" spans="2:12" x14ac:dyDescent="0.55000000000000004">
      <c r="B1329" s="552" t="s">
        <v>229</v>
      </c>
      <c r="C1329" s="552">
        <f>Quarts!T200</f>
        <v>4.3</v>
      </c>
      <c r="D1329" s="568">
        <f t="shared" ref="D1329:D1330" si="70">E1329+F1329</f>
        <v>1146.5</v>
      </c>
      <c r="E1329" s="568">
        <f>E1331-E1328-E1330</f>
        <v>1146.5</v>
      </c>
      <c r="F1329" s="568">
        <v>0</v>
      </c>
      <c r="H1329" s="575">
        <v>0.03</v>
      </c>
      <c r="L1329" s="567" t="s">
        <v>1988</v>
      </c>
    </row>
    <row r="1330" spans="2:12" x14ac:dyDescent="0.55000000000000004">
      <c r="B1330" s="618" t="s">
        <v>230</v>
      </c>
      <c r="C1330" s="618">
        <f>Quarts!T201</f>
        <v>0.8</v>
      </c>
      <c r="D1330" s="936">
        <f t="shared" si="70"/>
        <v>0</v>
      </c>
      <c r="E1330" s="936">
        <v>0</v>
      </c>
      <c r="F1330" s="936">
        <v>0</v>
      </c>
      <c r="L1330" s="567" t="s">
        <v>1989</v>
      </c>
    </row>
    <row r="1331" spans="2:12" x14ac:dyDescent="0.55000000000000004">
      <c r="B1331" s="552" t="s">
        <v>1984</v>
      </c>
      <c r="D1331" s="568">
        <f>Quarts!T248</f>
        <v>15437.477999999999</v>
      </c>
      <c r="E1331" s="568">
        <f>D1331-F1331</f>
        <v>12346.5</v>
      </c>
      <c r="F1331" s="568">
        <f>Quarts!T246</f>
        <v>3090.9780000000001</v>
      </c>
      <c r="L1331" s="567" t="s">
        <v>1990</v>
      </c>
    </row>
    <row r="1332" spans="2:12" x14ac:dyDescent="0.55000000000000004">
      <c r="D1332" s="568"/>
      <c r="K1332" s="567" t="s">
        <v>229</v>
      </c>
      <c r="L1332" s="567" t="s">
        <v>1986</v>
      </c>
    </row>
    <row r="1333" spans="2:12" x14ac:dyDescent="0.55000000000000004">
      <c r="B1333" s="552" t="s">
        <v>228</v>
      </c>
      <c r="C1333" s="552" t="s">
        <v>457</v>
      </c>
    </row>
    <row r="1334" spans="2:12" x14ac:dyDescent="0.55000000000000004">
      <c r="B1334" s="552" t="s">
        <v>218</v>
      </c>
    </row>
    <row r="1335" spans="2:12" x14ac:dyDescent="0.55000000000000004">
      <c r="B1335" s="552" t="s">
        <v>345</v>
      </c>
    </row>
    <row r="1336" spans="2:12" x14ac:dyDescent="0.55000000000000004">
      <c r="B1336" s="552" t="s">
        <v>419</v>
      </c>
    </row>
    <row r="1337" spans="2:12" x14ac:dyDescent="0.55000000000000004">
      <c r="H1337" s="567">
        <f>H1341/18</f>
        <v>745.94444444444446</v>
      </c>
    </row>
    <row r="1338" spans="2:12" x14ac:dyDescent="0.55000000000000004">
      <c r="B1338" s="552" t="s">
        <v>2389</v>
      </c>
    </row>
    <row r="1340" spans="2:12" x14ac:dyDescent="0.55000000000000004">
      <c r="B1340" s="574" t="s">
        <v>229</v>
      </c>
      <c r="C1340" s="574"/>
      <c r="D1340" s="579" t="s">
        <v>1014</v>
      </c>
      <c r="E1340" s="579" t="s">
        <v>1015</v>
      </c>
      <c r="F1340" s="579" t="s">
        <v>1016</v>
      </c>
      <c r="G1340" s="579" t="s">
        <v>1017</v>
      </c>
      <c r="H1340" s="609" t="s">
        <v>2107</v>
      </c>
      <c r="I1340" s="609" t="s">
        <v>2303</v>
      </c>
    </row>
    <row r="1341" spans="2:12" x14ac:dyDescent="0.55000000000000004">
      <c r="B1341" s="552" t="s">
        <v>2288</v>
      </c>
      <c r="D1341" s="568">
        <v>11721</v>
      </c>
      <c r="E1341" s="568">
        <v>11768</v>
      </c>
      <c r="F1341" s="568">
        <v>11882</v>
      </c>
      <c r="G1341" s="568">
        <v>12311</v>
      </c>
      <c r="H1341" s="568">
        <v>13427</v>
      </c>
      <c r="I1341" s="567">
        <v>14634</v>
      </c>
    </row>
    <row r="1342" spans="2:12" x14ac:dyDescent="0.55000000000000004">
      <c r="B1342" s="552" t="s">
        <v>2304</v>
      </c>
      <c r="D1342" s="568"/>
      <c r="E1342" s="575">
        <f>E1341/D1341-1</f>
        <v>4.0098967664874419E-3</v>
      </c>
      <c r="F1342" s="575">
        <f>F1341/E1341-1</f>
        <v>9.6872875594833374E-3</v>
      </c>
      <c r="G1342" s="575">
        <f>G1341/F1341-1</f>
        <v>3.6105032822757011E-2</v>
      </c>
      <c r="H1342" s="575">
        <f>H1341/G1341-1</f>
        <v>9.0650637641134013E-2</v>
      </c>
      <c r="I1342" s="575">
        <f>I1341/H1341-1</f>
        <v>8.9893498175318332E-2</v>
      </c>
    </row>
    <row r="1343" spans="2:12" x14ac:dyDescent="0.55000000000000004">
      <c r="B1343" s="552" t="s">
        <v>47</v>
      </c>
      <c r="D1343" s="568">
        <v>95</v>
      </c>
      <c r="E1343" s="568">
        <v>1536</v>
      </c>
      <c r="F1343" s="568">
        <v>2761</v>
      </c>
      <c r="G1343" s="568">
        <v>17354</v>
      </c>
      <c r="H1343" s="568">
        <v>37910</v>
      </c>
      <c r="I1343" s="567">
        <v>46657</v>
      </c>
    </row>
    <row r="1344" spans="2:12" x14ac:dyDescent="0.55000000000000004">
      <c r="B1344" s="552" t="s">
        <v>2289</v>
      </c>
      <c r="D1344" s="575"/>
      <c r="E1344" s="575"/>
      <c r="F1344" s="575"/>
      <c r="G1344" s="575">
        <f>G1341/G1343</f>
        <v>0.70940417194883021</v>
      </c>
      <c r="H1344" s="575">
        <f>H1341/H1343</f>
        <v>0.35418095489316803</v>
      </c>
      <c r="I1344" s="575">
        <f>I1341/I1343</f>
        <v>0.31365068478470542</v>
      </c>
    </row>
    <row r="1345" spans="2:9" x14ac:dyDescent="0.55000000000000004">
      <c r="D1345" s="575"/>
      <c r="E1345" s="575"/>
      <c r="F1345" s="575"/>
      <c r="G1345" s="575"/>
      <c r="H1345" s="575"/>
      <c r="I1345" s="575"/>
    </row>
    <row r="1346" spans="2:9" x14ac:dyDescent="0.55000000000000004">
      <c r="D1346" s="575"/>
      <c r="E1346" s="575"/>
      <c r="F1346" s="575"/>
      <c r="G1346" s="575"/>
      <c r="H1346" s="575"/>
      <c r="I1346" s="575"/>
    </row>
    <row r="1347" spans="2:9" x14ac:dyDescent="0.55000000000000004">
      <c r="H1347" s="567">
        <f>H1343/17</f>
        <v>2230</v>
      </c>
      <c r="I1347" s="567">
        <f>I1343/18</f>
        <v>2592.0555555555557</v>
      </c>
    </row>
    <row r="1348" spans="2:9" x14ac:dyDescent="0.55000000000000004">
      <c r="H1348" s="567">
        <f>H1347*0.145</f>
        <v>323.34999999999997</v>
      </c>
      <c r="I1348" s="567">
        <f>I1347*0.145</f>
        <v>375.84805555555556</v>
      </c>
    </row>
    <row r="1349" spans="2:9" x14ac:dyDescent="0.55000000000000004">
      <c r="I1349" s="567">
        <f>I1348-H1348</f>
        <v>52.498055555555595</v>
      </c>
    </row>
    <row r="1351" spans="2:9" x14ac:dyDescent="0.55000000000000004">
      <c r="B1351" s="552" t="s">
        <v>2335</v>
      </c>
    </row>
    <row r="1352" spans="2:9" x14ac:dyDescent="0.55000000000000004">
      <c r="B1352" s="552" t="s">
        <v>2336</v>
      </c>
      <c r="D1352" s="552">
        <v>18.02</v>
      </c>
      <c r="E1352" s="552">
        <v>17.12</v>
      </c>
      <c r="F1352" s="580">
        <v>17.09</v>
      </c>
      <c r="G1352" s="580">
        <v>16.97</v>
      </c>
      <c r="H1352" s="580">
        <v>16.559999999999999</v>
      </c>
      <c r="I1352" s="580">
        <v>18.34</v>
      </c>
    </row>
    <row r="1353" spans="2:9" x14ac:dyDescent="0.55000000000000004">
      <c r="B1353" s="552" t="s">
        <v>2337</v>
      </c>
      <c r="D1353" s="567">
        <f t="shared" ref="D1353:H1353" si="71">D1341/D1352</f>
        <v>650.4439511653718</v>
      </c>
      <c r="E1353" s="567">
        <f t="shared" si="71"/>
        <v>687.38317757009338</v>
      </c>
      <c r="F1353" s="567">
        <f t="shared" si="71"/>
        <v>695.26038619075484</v>
      </c>
      <c r="G1353" s="567">
        <f t="shared" si="71"/>
        <v>725.45668827342377</v>
      </c>
      <c r="H1353" s="567">
        <f t="shared" si="71"/>
        <v>810.80917874396141</v>
      </c>
      <c r="I1353" s="567">
        <f>I1341/I1352</f>
        <v>797.92802617230097</v>
      </c>
    </row>
    <row r="1354" spans="2:9" x14ac:dyDescent="0.55000000000000004">
      <c r="D1354" s="567"/>
      <c r="E1354" s="567"/>
      <c r="F1354" s="567"/>
    </row>
    <row r="1355" spans="2:9" x14ac:dyDescent="0.55000000000000004">
      <c r="B1355" s="552" t="s">
        <v>2366</v>
      </c>
      <c r="D1355" s="567">
        <f>D1353</f>
        <v>650.4439511653718</v>
      </c>
      <c r="E1355" s="567">
        <f t="shared" ref="E1355:F1355" si="72">E1353</f>
        <v>687.38317757009338</v>
      </c>
      <c r="F1355" s="567">
        <f t="shared" si="72"/>
        <v>695.26038619075484</v>
      </c>
      <c r="G1355" s="567">
        <f>F1355*1.025</f>
        <v>712.64189584552366</v>
      </c>
      <c r="H1355" s="567">
        <f>G1355*1.1</f>
        <v>783.90608543007613</v>
      </c>
      <c r="I1355" s="567">
        <v>750</v>
      </c>
    </row>
    <row r="1356" spans="2:9" x14ac:dyDescent="0.55000000000000004">
      <c r="B1356" s="552" t="s">
        <v>2367</v>
      </c>
      <c r="D1356" s="567">
        <f>D1353-D1355</f>
        <v>0</v>
      </c>
      <c r="E1356" s="567">
        <f t="shared" ref="E1356:I1356" si="73">E1353-E1355</f>
        <v>0</v>
      </c>
      <c r="F1356" s="567">
        <f t="shared" si="73"/>
        <v>0</v>
      </c>
      <c r="G1356" s="567">
        <f t="shared" si="73"/>
        <v>12.814792427900102</v>
      </c>
      <c r="H1356" s="567">
        <f t="shared" si="73"/>
        <v>26.903093313885279</v>
      </c>
      <c r="I1356" s="567">
        <f t="shared" si="73"/>
        <v>47.928026172300974</v>
      </c>
    </row>
    <row r="1358" spans="2:9" x14ac:dyDescent="0.55000000000000004">
      <c r="B1358" s="552" t="s">
        <v>1005</v>
      </c>
      <c r="D1358" s="567">
        <f>Quarts!R236</f>
        <v>11178</v>
      </c>
      <c r="E1358" s="567">
        <f>Quarts!S236</f>
        <v>12821</v>
      </c>
      <c r="F1358" s="567">
        <f>Quarts!T236</f>
        <v>13185.477999999999</v>
      </c>
      <c r="G1358" s="567">
        <f>Quarts!U236</f>
        <v>15616</v>
      </c>
      <c r="H1358" s="567">
        <f>Quarts!W236</f>
        <v>16660.7</v>
      </c>
      <c r="I1358" s="567">
        <f>Quarts!X236</f>
        <v>16035</v>
      </c>
    </row>
    <row r="1359" spans="2:9" x14ac:dyDescent="0.55000000000000004">
      <c r="B1359" s="552" t="s">
        <v>2338</v>
      </c>
      <c r="D1359" s="611">
        <f t="shared" ref="D1359:H1359" si="74">D1353/D1358</f>
        <v>5.8189653888474843E-2</v>
      </c>
      <c r="E1359" s="611">
        <f t="shared" si="74"/>
        <v>5.3613850524147369E-2</v>
      </c>
      <c r="F1359" s="611">
        <f t="shared" si="74"/>
        <v>5.2729251544066505E-2</v>
      </c>
      <c r="G1359" s="611">
        <f t="shared" si="74"/>
        <v>4.6455986697837078E-2</v>
      </c>
      <c r="H1359" s="611">
        <f t="shared" si="74"/>
        <v>4.8665973143022886E-2</v>
      </c>
      <c r="I1359" s="611">
        <f>I1353/I1358</f>
        <v>4.9761648030701648E-2</v>
      </c>
    </row>
    <row r="1361" spans="2:10" x14ac:dyDescent="0.55000000000000004">
      <c r="B1361" s="574"/>
      <c r="C1361" s="574"/>
      <c r="D1361" s="579" t="str">
        <f>'Earnings snap'!S373</f>
        <v>Q1 23</v>
      </c>
      <c r="E1361" s="579" t="str">
        <f>'Earnings snap'!V373</f>
        <v>Q2 23</v>
      </c>
      <c r="F1361" s="579" t="str">
        <f>'Earnings snap'!Y373</f>
        <v>Q3 23</v>
      </c>
      <c r="G1361" s="579" t="str">
        <f>'Earnings snap'!AB373</f>
        <v>Q4 23</v>
      </c>
      <c r="H1361" s="579" t="str">
        <f>'Earnings snap'!AE373</f>
        <v>Q1 24</v>
      </c>
      <c r="I1361" s="579" t="str">
        <f>'Earnings snap'!AH373</f>
        <v>Q2 24</v>
      </c>
      <c r="J1361" s="935"/>
    </row>
    <row r="1362" spans="2:10" x14ac:dyDescent="0.55000000000000004">
      <c r="B1362" s="552" t="s">
        <v>2321</v>
      </c>
      <c r="D1362" s="568">
        <f>'Earnings snap'!S376</f>
        <v>423</v>
      </c>
      <c r="E1362" s="568">
        <f>'Earnings snap'!V376</f>
        <v>546</v>
      </c>
      <c r="F1362" s="568">
        <f>'Earnings snap'!Y376</f>
        <v>440</v>
      </c>
      <c r="G1362" s="568">
        <f>'Earnings snap'!AB376</f>
        <v>665</v>
      </c>
      <c r="H1362" s="568">
        <f>'Earnings snap'!AE376</f>
        <v>677</v>
      </c>
      <c r="I1362" s="568">
        <f>'Earnings snap'!AH376</f>
        <v>587</v>
      </c>
      <c r="J1362" s="568"/>
    </row>
    <row r="1363" spans="2:10" x14ac:dyDescent="0.55000000000000004">
      <c r="B1363" s="552" t="s">
        <v>2331</v>
      </c>
      <c r="D1363" s="568"/>
      <c r="E1363" s="568"/>
      <c r="F1363" s="568"/>
      <c r="G1363" s="568">
        <f>SUM(D1362:G1362)</f>
        <v>2074</v>
      </c>
      <c r="H1363" s="568">
        <f>SUM(E1362:H1362)</f>
        <v>2328</v>
      </c>
      <c r="I1363" s="568">
        <f>SUM(F1362:I1362)</f>
        <v>2369</v>
      </c>
      <c r="J1363" s="568"/>
    </row>
    <row r="1364" spans="2:10" x14ac:dyDescent="0.55000000000000004">
      <c r="D1364" s="568"/>
      <c r="E1364" s="568"/>
      <c r="F1364" s="568"/>
      <c r="G1364" s="568"/>
      <c r="H1364" s="568"/>
      <c r="I1364" s="568"/>
      <c r="J1364" s="568"/>
    </row>
    <row r="1365" spans="2:10" x14ac:dyDescent="0.55000000000000004">
      <c r="D1365" s="568"/>
      <c r="E1365" s="568"/>
      <c r="F1365" s="568"/>
      <c r="G1365" s="568"/>
      <c r="H1365" s="568"/>
      <c r="I1365" s="568"/>
      <c r="J1365" s="568"/>
    </row>
    <row r="1366" spans="2:10" x14ac:dyDescent="0.55000000000000004">
      <c r="B1366" s="552" t="s">
        <v>2333</v>
      </c>
      <c r="D1366" s="568">
        <f>Quarts!R254-Quarts!P254</f>
        <v>281</v>
      </c>
      <c r="E1366" s="568">
        <f>Quarts!S254-Quarts!R254</f>
        <v>401</v>
      </c>
      <c r="F1366" s="568">
        <f>Quarts!T254-Quarts!S254</f>
        <v>219</v>
      </c>
      <c r="G1366" s="568">
        <f>Quarts!U254-Quarts!T254</f>
        <v>356</v>
      </c>
      <c r="H1366" s="568">
        <f>Quarts!W254-Quarts!U254</f>
        <v>304</v>
      </c>
      <c r="I1366" s="568">
        <f>Quarts!X254-Quarts!W254</f>
        <v>24.449000000000524</v>
      </c>
      <c r="J1366" s="568"/>
    </row>
    <row r="1367" spans="2:10" x14ac:dyDescent="0.55000000000000004">
      <c r="B1367" s="552" t="s">
        <v>2331</v>
      </c>
      <c r="D1367" s="568"/>
      <c r="E1367" s="568"/>
      <c r="F1367" s="568"/>
      <c r="G1367" s="568">
        <f>SUM(D1366:G1366)</f>
        <v>1257</v>
      </c>
      <c r="H1367" s="568">
        <f>SUM(E1366:H1366)</f>
        <v>1280</v>
      </c>
      <c r="I1367" s="568">
        <f>SUM(F1366:I1366)</f>
        <v>903.44900000000052</v>
      </c>
      <c r="J1367" s="568"/>
    </row>
    <row r="1368" spans="2:10" x14ac:dyDescent="0.55000000000000004">
      <c r="B1368" s="552" t="s">
        <v>2334</v>
      </c>
      <c r="D1368" s="568"/>
      <c r="E1368" s="568"/>
      <c r="F1368" s="568"/>
      <c r="G1368" s="575">
        <f>G1367/G1363</f>
        <v>0.6060752169720347</v>
      </c>
      <c r="H1368" s="575">
        <f>H1367/H1363</f>
        <v>0.54982817869415812</v>
      </c>
      <c r="I1368" s="575">
        <f>I1367/I1363</f>
        <v>0.38136302237230923</v>
      </c>
      <c r="J1368" s="568"/>
    </row>
    <row r="1369" spans="2:10" x14ac:dyDescent="0.55000000000000004">
      <c r="D1369" s="568"/>
      <c r="E1369" s="568"/>
      <c r="F1369" s="568"/>
      <c r="G1369" s="568"/>
      <c r="H1369" s="568"/>
      <c r="I1369" s="568"/>
      <c r="J1369" s="568"/>
    </row>
    <row r="1370" spans="2:10" x14ac:dyDescent="0.55000000000000004">
      <c r="B1370" s="552" t="s">
        <v>2332</v>
      </c>
      <c r="D1370" s="567">
        <f>(Quarts!R282-Quarts!P282)/Quarts!R263</f>
        <v>222.26086956521729</v>
      </c>
      <c r="E1370" s="567">
        <f>(Quarts!S282-Quarts!R282)/Quarts!S263</f>
        <v>309.00835073068771</v>
      </c>
      <c r="F1370" s="567">
        <f>(Quarts!T282-Quarts!S282)/Quarts!T263</f>
        <v>319.84325396825437</v>
      </c>
      <c r="G1370" s="567">
        <f>(Quarts!U282-Quarts!T282)/Quarts!U263</f>
        <v>272.59259259259017</v>
      </c>
      <c r="H1370" s="567">
        <f>(Quarts!W282-Quarts!U282)/Quarts!W263</f>
        <v>382.08383233533038</v>
      </c>
      <c r="I1370" s="567">
        <f>(Quarts!X282-Quarts!W282)/Quarts!X263</f>
        <v>326.58853488372415</v>
      </c>
    </row>
    <row r="1371" spans="2:10" x14ac:dyDescent="0.55000000000000004">
      <c r="B1371" s="552" t="s">
        <v>2331</v>
      </c>
      <c r="D1371" s="568"/>
      <c r="E1371" s="568"/>
      <c r="F1371" s="568"/>
      <c r="G1371" s="568">
        <f>SUM(D1370:G1370)</f>
        <v>1123.7050668567495</v>
      </c>
      <c r="H1371" s="568">
        <f>SUM(E1370:H1370)</f>
        <v>1283.5280296268625</v>
      </c>
      <c r="I1371" s="568">
        <f>SUM(F1370:I1370)</f>
        <v>1301.108213779899</v>
      </c>
    </row>
    <row r="1372" spans="2:10" x14ac:dyDescent="0.55000000000000004">
      <c r="B1372" s="552" t="s">
        <v>1169</v>
      </c>
      <c r="D1372" s="575"/>
      <c r="E1372" s="575"/>
      <c r="F1372" s="575"/>
      <c r="G1372" s="575">
        <f t="shared" ref="G1372:H1372" si="75">G1371/G1363</f>
        <v>0.54180572172456576</v>
      </c>
      <c r="H1372" s="575">
        <f t="shared" si="75"/>
        <v>0.55134365533799934</v>
      </c>
      <c r="I1372" s="575">
        <f>I1371/I1363</f>
        <v>0.54922254697336381</v>
      </c>
    </row>
    <row r="1374" spans="2:10" x14ac:dyDescent="0.55000000000000004">
      <c r="B1374" s="552" t="s">
        <v>546</v>
      </c>
      <c r="D1374" s="614" t="str">
        <f>D1361</f>
        <v>Q1 23</v>
      </c>
      <c r="E1374" s="614" t="str">
        <f t="shared" ref="E1374:I1374" si="76">E1361</f>
        <v>Q2 23</v>
      </c>
      <c r="F1374" s="614" t="str">
        <f t="shared" si="76"/>
        <v>Q3 23</v>
      </c>
      <c r="G1374" s="614" t="str">
        <f t="shared" si="76"/>
        <v>Q4 23</v>
      </c>
      <c r="H1374" s="614" t="str">
        <f t="shared" si="76"/>
        <v>Q1 24</v>
      </c>
      <c r="I1374" s="614" t="str">
        <f t="shared" si="76"/>
        <v>Q2 24</v>
      </c>
    </row>
    <row r="1375" spans="2:10" x14ac:dyDescent="0.55000000000000004">
      <c r="B1375" s="552" t="s">
        <v>2324</v>
      </c>
      <c r="D1375" s="567"/>
      <c r="E1375" s="916">
        <v>26.3</v>
      </c>
      <c r="F1375" s="916">
        <v>29</v>
      </c>
      <c r="G1375" s="916">
        <v>32.6</v>
      </c>
      <c r="H1375" s="916">
        <v>31.1</v>
      </c>
      <c r="I1375" s="916">
        <v>30.4</v>
      </c>
    </row>
    <row r="1376" spans="2:10" x14ac:dyDescent="0.55000000000000004">
      <c r="B1376" s="552" t="s">
        <v>395</v>
      </c>
      <c r="D1376" s="567"/>
      <c r="E1376" s="1092">
        <f>E1375*Quarts!S50</f>
        <v>130.185</v>
      </c>
      <c r="F1376" s="1092">
        <f>F1375*Quarts!T50</f>
        <v>141.81</v>
      </c>
      <c r="G1376" s="1092">
        <f>G1375*Quarts!U50</f>
        <v>161.37</v>
      </c>
      <c r="H1376" s="1092">
        <f>H1375*Quarts!W50</f>
        <v>154.256</v>
      </c>
      <c r="I1376" s="1092">
        <f>I1375*Quarts!X50</f>
        <v>158.07999999999998</v>
      </c>
      <c r="J1376" s="916">
        <f>J1375*Quarts!X50</f>
        <v>0</v>
      </c>
    </row>
    <row r="1377" spans="2:13" x14ac:dyDescent="0.55000000000000004">
      <c r="B1377" s="552" t="s">
        <v>2325</v>
      </c>
      <c r="E1377" s="580">
        <v>12.94</v>
      </c>
      <c r="F1377" s="580">
        <v>13.79</v>
      </c>
      <c r="G1377" s="580">
        <v>13.6</v>
      </c>
      <c r="H1377" s="580">
        <v>15.3</v>
      </c>
      <c r="I1377" s="580">
        <v>16.7</v>
      </c>
    </row>
    <row r="1379" spans="2:13" x14ac:dyDescent="0.55000000000000004">
      <c r="D1379" s="928" t="str">
        <f>'Earnings snap'!H80</f>
        <v>Q2 22</v>
      </c>
      <c r="E1379" s="928" t="str">
        <f>'Earnings snap'!I80</f>
        <v>Q3 22</v>
      </c>
      <c r="F1379" s="928" t="str">
        <f>'Earnings snap'!J80</f>
        <v>Q4 22</v>
      </c>
      <c r="G1379" s="928" t="str">
        <f>'Earnings snap'!K80</f>
        <v>Q1 23</v>
      </c>
      <c r="H1379" s="928" t="str">
        <f>'Earnings snap'!L80</f>
        <v>Q2 23</v>
      </c>
      <c r="I1379" s="928" t="str">
        <f>'Earnings snap'!M80</f>
        <v>Q3 23</v>
      </c>
      <c r="J1379" s="928" t="str">
        <f>'Earnings snap'!N80</f>
        <v>Q4 23</v>
      </c>
      <c r="K1379" s="928" t="str">
        <f>'Earnings snap'!O80</f>
        <v>Q1 24</v>
      </c>
      <c r="L1379" s="928" t="str">
        <f>'Earnings snap'!P80</f>
        <v>Q2 24</v>
      </c>
      <c r="M1379" s="568"/>
    </row>
    <row r="1380" spans="2:13" x14ac:dyDescent="0.55000000000000004">
      <c r="B1380" s="552" t="s">
        <v>345</v>
      </c>
      <c r="D1380" s="568">
        <f>'Earnings snap'!H89</f>
        <v>6478.47</v>
      </c>
      <c r="E1380" s="568">
        <f>'Earnings snap'!I89</f>
        <v>6987.9480000000003</v>
      </c>
      <c r="F1380" s="568">
        <f>'Earnings snap'!J89</f>
        <v>8233</v>
      </c>
      <c r="G1380" s="568">
        <f>'Earnings snap'!K89</f>
        <v>9158</v>
      </c>
      <c r="H1380" s="568">
        <f>'Earnings snap'!L89</f>
        <v>10388</v>
      </c>
      <c r="I1380" s="568">
        <f>'Earnings snap'!M89</f>
        <v>10495.5</v>
      </c>
      <c r="J1380" s="568">
        <f>'Earnings snap'!N89</f>
        <v>12414</v>
      </c>
      <c r="K1380" s="568">
        <f>'Earnings snap'!O89</f>
        <v>12796.7</v>
      </c>
      <c r="L1380" s="568">
        <f>'Earnings snap'!P89</f>
        <v>12027</v>
      </c>
    </row>
    <row r="1381" spans="2:13" x14ac:dyDescent="0.55000000000000004">
      <c r="B1381" s="552" t="s">
        <v>2323</v>
      </c>
      <c r="D1381" s="568">
        <f>'Earnings snap'!H90</f>
        <v>1675.7760000000001</v>
      </c>
      <c r="E1381" s="568">
        <f>'Earnings snap'!I90</f>
        <v>1603.105</v>
      </c>
      <c r="F1381" s="568">
        <f>'Earnings snap'!J90</f>
        <v>1673</v>
      </c>
      <c r="G1381" s="568">
        <f>'Earnings snap'!K90</f>
        <v>2020</v>
      </c>
      <c r="H1381" s="568">
        <f>'Earnings snap'!L90</f>
        <v>2433</v>
      </c>
      <c r="I1381" s="568">
        <f>'Earnings snap'!M90</f>
        <v>2689.9780000000001</v>
      </c>
      <c r="J1381" s="568">
        <f>'Earnings snap'!N90</f>
        <v>3202</v>
      </c>
      <c r="K1381" s="568">
        <f>'Earnings snap'!O90</f>
        <v>3864</v>
      </c>
      <c r="L1381" s="568">
        <f>'Earnings snap'!P90</f>
        <v>4008</v>
      </c>
    </row>
    <row r="1382" spans="2:13" x14ac:dyDescent="0.55000000000000004">
      <c r="B1382" s="552" t="s">
        <v>2323</v>
      </c>
    </row>
    <row r="1417" spans="2:12" x14ac:dyDescent="0.55000000000000004">
      <c r="B1417" s="552" t="s">
        <v>1951</v>
      </c>
      <c r="C1417" s="935" t="str">
        <f>Quarts!M2</f>
        <v>Q1 22</v>
      </c>
      <c r="D1417" s="935" t="str">
        <f>Quarts!N2</f>
        <v>Q2 22</v>
      </c>
      <c r="E1417" s="935" t="str">
        <f>Quarts!O2</f>
        <v>Q3 22</v>
      </c>
      <c r="F1417" s="935" t="str">
        <f>Quarts!P2</f>
        <v>Q4 22</v>
      </c>
      <c r="G1417" s="935" t="str">
        <f>Quarts!R2</f>
        <v>Q1 23</v>
      </c>
      <c r="H1417" s="935" t="str">
        <f>Quarts!S2</f>
        <v>Q2 23</v>
      </c>
      <c r="I1417" s="935" t="str">
        <f>Quarts!T2</f>
        <v>Q3 23</v>
      </c>
      <c r="J1417" s="935" t="str">
        <f>Quarts!U2</f>
        <v>Q4 23</v>
      </c>
      <c r="K1417" s="935" t="str">
        <f>Quarts!W2</f>
        <v>Q1 24</v>
      </c>
      <c r="L1417" s="935" t="str">
        <f>Quarts!X2</f>
        <v>Q2 24</v>
      </c>
    </row>
    <row r="1418" spans="2:12" x14ac:dyDescent="0.55000000000000004">
      <c r="B1418" s="552" t="s">
        <v>345</v>
      </c>
      <c r="C1418" s="575">
        <f>Quarts!M21</f>
        <v>0.11152838052426851</v>
      </c>
      <c r="D1418" s="575">
        <f>Quarts!N21</f>
        <v>0.13952598049524004</v>
      </c>
      <c r="E1418" s="575">
        <f>Quarts!O21</f>
        <v>0.139844379093292</v>
      </c>
      <c r="F1418" s="575">
        <f>Quarts!P21</f>
        <v>0.14927230919114998</v>
      </c>
      <c r="G1418" s="575">
        <f>Quarts!R21</f>
        <v>0.18127178864257518</v>
      </c>
      <c r="H1418" s="575">
        <f>Quarts!S21</f>
        <v>0.2108626198083067</v>
      </c>
      <c r="I1418" s="575">
        <f>Quarts!T21</f>
        <v>0.2227899297375914</v>
      </c>
      <c r="J1418" s="575">
        <f>Quarts!U21</f>
        <v>0.23817191368942345</v>
      </c>
      <c r="K1418" s="575">
        <f>Quarts!W21</f>
        <v>0.26591270685758872</v>
      </c>
      <c r="L1418" s="575">
        <f>Quarts!X21</f>
        <v>0.27317545927209708</v>
      </c>
    </row>
    <row r="1419" spans="2:12" x14ac:dyDescent="0.55000000000000004">
      <c r="B1419" s="552" t="s">
        <v>547</v>
      </c>
      <c r="C1419" s="575">
        <f>Quarts!M22</f>
        <v>0.38655043586550436</v>
      </c>
      <c r="D1419" s="575">
        <f>Quarts!N22</f>
        <v>0.4613571640496536</v>
      </c>
      <c r="E1419" s="575">
        <f>Quarts!O22</f>
        <v>0.51937421639415093</v>
      </c>
      <c r="F1419" s="575">
        <f>Quarts!P22</f>
        <v>0.53639560207182801</v>
      </c>
      <c r="G1419" s="575">
        <f>Quarts!R22</f>
        <v>0.53098166627987931</v>
      </c>
      <c r="H1419" s="575">
        <f>Quarts!S22</f>
        <v>0.55070202808112323</v>
      </c>
      <c r="I1419" s="575">
        <f>Quarts!T22</f>
        <v>0.61657888232796387</v>
      </c>
      <c r="J1419" s="575">
        <f>Quarts!U22</f>
        <v>0.65550248656204324</v>
      </c>
      <c r="K1419" s="575">
        <f>Quarts!W22</f>
        <v>0.6405468082509459</v>
      </c>
      <c r="L1419" s="575">
        <f>Quarts!X22</f>
        <v>0.6997845172860081</v>
      </c>
    </row>
    <row r="1438" spans="2:13" x14ac:dyDescent="0.55000000000000004">
      <c r="B1438" s="574" t="s">
        <v>345</v>
      </c>
      <c r="C1438" s="579" t="str">
        <f t="shared" ref="C1438:L1438" si="77">C1417</f>
        <v>Q1 22</v>
      </c>
      <c r="D1438" s="579" t="str">
        <f t="shared" si="77"/>
        <v>Q2 22</v>
      </c>
      <c r="E1438" s="579" t="str">
        <f t="shared" si="77"/>
        <v>Q3 22</v>
      </c>
      <c r="F1438" s="579" t="str">
        <f t="shared" si="77"/>
        <v>Q4 22</v>
      </c>
      <c r="G1438" s="579" t="str">
        <f t="shared" si="77"/>
        <v>Q1 23</v>
      </c>
      <c r="H1438" s="579" t="str">
        <f t="shared" si="77"/>
        <v>Q2 23</v>
      </c>
      <c r="I1438" s="579" t="str">
        <f t="shared" si="77"/>
        <v>Q3 23</v>
      </c>
      <c r="J1438" s="579" t="str">
        <f t="shared" si="77"/>
        <v>Q4 23</v>
      </c>
      <c r="K1438" s="579" t="str">
        <f t="shared" si="77"/>
        <v>Q1 24</v>
      </c>
      <c r="L1438" s="579" t="str">
        <f t="shared" si="77"/>
        <v>Q2 24</v>
      </c>
    </row>
    <row r="1439" spans="2:13" x14ac:dyDescent="0.55000000000000004">
      <c r="B1439" s="552" t="s">
        <v>256</v>
      </c>
      <c r="C1439" s="935">
        <f>Quarts!M263</f>
        <v>4.74</v>
      </c>
      <c r="D1439" s="935">
        <f>Quarts!N263</f>
        <v>5.26</v>
      </c>
      <c r="E1439" s="935">
        <f>Quarts!O263</f>
        <v>5.4154999999999998</v>
      </c>
      <c r="F1439" s="935">
        <f>Quarts!P263</f>
        <v>5.28</v>
      </c>
      <c r="G1439" s="935">
        <f>Quarts!R263</f>
        <v>5.0599999999999996</v>
      </c>
      <c r="H1439" s="935">
        <f>Quarts!S263</f>
        <v>4.79</v>
      </c>
      <c r="I1439" s="935">
        <f>Quarts!T263</f>
        <v>5.04</v>
      </c>
      <c r="J1439" s="935">
        <f>Quarts!U263</f>
        <v>4.8600000000000003</v>
      </c>
      <c r="K1439" s="935">
        <f>Quarts!W263</f>
        <v>5.01</v>
      </c>
      <c r="L1439" s="935">
        <f>Quarts!X263</f>
        <v>5.59</v>
      </c>
      <c r="M1439" s="935"/>
    </row>
    <row r="1440" spans="2:13" x14ac:dyDescent="0.55000000000000004">
      <c r="B1440" s="552" t="s">
        <v>2358</v>
      </c>
      <c r="C1440" s="552">
        <f>bcb!O18</f>
        <v>529115</v>
      </c>
      <c r="D1440" s="552">
        <f>bcb!O21</f>
        <v>571240</v>
      </c>
      <c r="E1440" s="552">
        <f>bcb!O24</f>
        <v>604219</v>
      </c>
      <c r="F1440" s="552">
        <f>bcb!O27</f>
        <v>645049</v>
      </c>
      <c r="G1440" s="552">
        <f>bcb!O30</f>
        <v>658709</v>
      </c>
      <c r="H1440" s="552">
        <f>bcb!O33</f>
        <v>664778</v>
      </c>
      <c r="I1440" s="552">
        <f>bcb!O36</f>
        <v>664106</v>
      </c>
      <c r="J1440" s="552">
        <f>bcb!O39</f>
        <v>694465</v>
      </c>
      <c r="K1440" s="552">
        <f>bcb!O42</f>
        <v>696006</v>
      </c>
      <c r="L1440" s="552">
        <f>bcb!O45</f>
        <v>712908</v>
      </c>
    </row>
    <row r="1441" spans="2:14" x14ac:dyDescent="0.55000000000000004">
      <c r="B1441" s="552" t="s">
        <v>2359</v>
      </c>
      <c r="C1441" s="567">
        <f t="shared" ref="C1441:K1441" si="78">C1440/C1439</f>
        <v>111627.63713080168</v>
      </c>
      <c r="D1441" s="567">
        <f t="shared" si="78"/>
        <v>108600.76045627377</v>
      </c>
      <c r="E1441" s="567">
        <f t="shared" si="78"/>
        <v>111572.15400240052</v>
      </c>
      <c r="F1441" s="567">
        <f t="shared" si="78"/>
        <v>122168.3712121212</v>
      </c>
      <c r="G1441" s="567">
        <f t="shared" si="78"/>
        <v>130179.64426877472</v>
      </c>
      <c r="H1441" s="567">
        <f t="shared" si="78"/>
        <v>138784.55114822547</v>
      </c>
      <c r="I1441" s="567">
        <f t="shared" si="78"/>
        <v>131767.06349206349</v>
      </c>
      <c r="J1441" s="567">
        <f t="shared" si="78"/>
        <v>142894.03292181069</v>
      </c>
      <c r="K1441" s="567">
        <f t="shared" si="78"/>
        <v>138923.35329341318</v>
      </c>
      <c r="L1441" s="567">
        <f t="shared" ref="L1441" si="79">L1440/L1439</f>
        <v>127532.73703041146</v>
      </c>
    </row>
    <row r="1443" spans="2:14" x14ac:dyDescent="0.55000000000000004">
      <c r="B1443" s="552" t="s">
        <v>2360</v>
      </c>
      <c r="C1443" s="568">
        <f>Quarts!M245</f>
        <v>6814.4089999999997</v>
      </c>
      <c r="D1443" s="568">
        <f>Quarts!N245</f>
        <v>7175.817</v>
      </c>
      <c r="E1443" s="568">
        <f>Quarts!O245</f>
        <v>7812.2719999999999</v>
      </c>
      <c r="F1443" s="568">
        <f>Quarts!P245</f>
        <v>9284</v>
      </c>
      <c r="G1443" s="568">
        <f>Quarts!R245-D1355</f>
        <v>9823.5560488346273</v>
      </c>
      <c r="H1443" s="568">
        <f>Quarts!S245-E1355</f>
        <v>11374.616822429907</v>
      </c>
      <c r="I1443" s="568">
        <f>Quarts!T245-F1355</f>
        <v>11651.239613809244</v>
      </c>
      <c r="J1443" s="568">
        <f>Quarts!U245-G1355</f>
        <v>13797.358104154477</v>
      </c>
      <c r="K1443" s="568">
        <f>Quarts!V245-H1355</f>
        <v>13726.093914569923</v>
      </c>
      <c r="L1443" s="568">
        <f>Quarts!W245-I1355</f>
        <v>14343.7</v>
      </c>
    </row>
    <row r="1444" spans="2:14" x14ac:dyDescent="0.55000000000000004">
      <c r="B1444" s="552" t="s">
        <v>566</v>
      </c>
      <c r="C1444" s="611">
        <f>C1443/C1441</f>
        <v>6.1045894862175522E-2</v>
      </c>
      <c r="D1444" s="611">
        <f t="shared" ref="D1444:L1444" si="80">D1443/D1441</f>
        <v>6.6075200301099354E-2</v>
      </c>
      <c r="E1444" s="611">
        <f t="shared" si="80"/>
        <v>7.0019908370971454E-2</v>
      </c>
      <c r="F1444" s="611">
        <f t="shared" si="80"/>
        <v>7.599348266565796E-2</v>
      </c>
      <c r="G1444" s="611">
        <f t="shared" si="80"/>
        <v>7.5461537047623775E-2</v>
      </c>
      <c r="H1444" s="611">
        <f t="shared" si="80"/>
        <v>8.1958811181235325E-2</v>
      </c>
      <c r="I1444" s="611">
        <f t="shared" si="80"/>
        <v>8.8423004239682509E-2</v>
      </c>
      <c r="J1444" s="611">
        <f t="shared" si="80"/>
        <v>9.6556572881557404E-2</v>
      </c>
      <c r="K1444" s="611">
        <f t="shared" si="80"/>
        <v>9.8803358752647688E-2</v>
      </c>
      <c r="L1444" s="611">
        <f t="shared" si="80"/>
        <v>0.11247072974352931</v>
      </c>
    </row>
    <row r="1445" spans="2:14" x14ac:dyDescent="0.55000000000000004">
      <c r="C1445" s="567"/>
      <c r="D1445" s="567"/>
      <c r="E1445" s="554"/>
      <c r="F1445" s="554"/>
      <c r="G1445" s="554"/>
      <c r="H1445" s="554"/>
      <c r="I1445" s="554"/>
      <c r="J1445" s="554"/>
      <c r="K1445" s="554"/>
      <c r="L1445" s="554"/>
    </row>
    <row r="1446" spans="2:14" x14ac:dyDescent="0.55000000000000004">
      <c r="B1446" s="552" t="s">
        <v>2361</v>
      </c>
      <c r="C1446" s="552">
        <f>bcb!F18</f>
        <v>316208</v>
      </c>
      <c r="D1446" s="552">
        <f>bcb!F21</f>
        <v>336018</v>
      </c>
      <c r="E1446" s="552">
        <f>bcb!F24</f>
        <v>343638</v>
      </c>
      <c r="F1446" s="552">
        <f>bcb!F27</f>
        <v>370051</v>
      </c>
      <c r="G1446" s="552">
        <f>bcb!F30</f>
        <v>365641</v>
      </c>
      <c r="H1446" s="552">
        <f>bcb!F33</f>
        <v>369473</v>
      </c>
      <c r="I1446" s="552">
        <f>bcb!F36</f>
        <v>378439</v>
      </c>
      <c r="J1446" s="552">
        <f>bcb!F39</f>
        <v>413822</v>
      </c>
      <c r="K1446" s="552">
        <f>bcb!F42</f>
        <v>403469</v>
      </c>
      <c r="L1446" s="552">
        <f>bcb!F45</f>
        <v>416044</v>
      </c>
    </row>
    <row r="1447" spans="2:14" x14ac:dyDescent="0.55000000000000004">
      <c r="B1447" s="552" t="s">
        <v>2362</v>
      </c>
      <c r="C1447" s="567">
        <f>C1446/C1439</f>
        <v>66710.548523206744</v>
      </c>
      <c r="D1447" s="552">
        <f t="shared" ref="D1447:L1447" si="81">D1446/D1439</f>
        <v>63881.749049429658</v>
      </c>
      <c r="E1447" s="552">
        <f t="shared" si="81"/>
        <v>63454.52866771305</v>
      </c>
      <c r="F1447" s="552">
        <f t="shared" si="81"/>
        <v>70085.416666666657</v>
      </c>
      <c r="G1447" s="552">
        <f t="shared" si="81"/>
        <v>72261.067193675888</v>
      </c>
      <c r="H1447" s="552">
        <f t="shared" si="81"/>
        <v>77134.237995824631</v>
      </c>
      <c r="I1447" s="552">
        <f t="shared" si="81"/>
        <v>75087.10317460318</v>
      </c>
      <c r="J1447" s="567">
        <f t="shared" si="81"/>
        <v>85148.559670781891</v>
      </c>
      <c r="K1447" s="567">
        <f t="shared" si="81"/>
        <v>80532.734530938134</v>
      </c>
      <c r="L1447" s="567">
        <f t="shared" si="81"/>
        <v>74426.475849731665</v>
      </c>
    </row>
    <row r="1448" spans="2:14" x14ac:dyDescent="0.55000000000000004">
      <c r="B1448" s="613" t="s">
        <v>2363</v>
      </c>
      <c r="C1448" s="615">
        <f>C1443/C1447</f>
        <v>0.10214889775084755</v>
      </c>
      <c r="D1448" s="615">
        <f t="shared" ref="D1448:L1448" si="82">D1443/D1447</f>
        <v>0.11232968894523508</v>
      </c>
      <c r="E1448" s="615">
        <f t="shared" si="82"/>
        <v>0.12311606695417851</v>
      </c>
      <c r="F1448" s="615">
        <f t="shared" si="82"/>
        <v>0.13246693023394074</v>
      </c>
      <c r="G1448" s="615">
        <f t="shared" si="82"/>
        <v>0.13594534969301367</v>
      </c>
      <c r="H1448" s="615">
        <f t="shared" si="82"/>
        <v>0.14746521282864852</v>
      </c>
      <c r="I1448" s="615">
        <f t="shared" si="82"/>
        <v>0.1551696512610978</v>
      </c>
      <c r="J1448" s="615">
        <f t="shared" si="82"/>
        <v>0.16203865523387051</v>
      </c>
      <c r="K1448" s="615">
        <f t="shared" si="82"/>
        <v>0.17044117518816887</v>
      </c>
      <c r="L1448" s="615">
        <f t="shared" si="82"/>
        <v>0.19272308457759277</v>
      </c>
    </row>
    <row r="1450" spans="2:14" x14ac:dyDescent="0.55000000000000004">
      <c r="B1450" s="574" t="s">
        <v>547</v>
      </c>
      <c r="C1450" s="579" t="str">
        <f>C1438</f>
        <v>Q1 22</v>
      </c>
      <c r="D1450" s="579" t="str">
        <f t="shared" ref="D1450:L1450" si="83">D1438</f>
        <v>Q2 22</v>
      </c>
      <c r="E1450" s="579" t="str">
        <f t="shared" si="83"/>
        <v>Q3 22</v>
      </c>
      <c r="F1450" s="579" t="str">
        <f t="shared" si="83"/>
        <v>Q4 22</v>
      </c>
      <c r="G1450" s="579" t="str">
        <f t="shared" si="83"/>
        <v>Q1 23</v>
      </c>
      <c r="H1450" s="579" t="str">
        <f t="shared" si="83"/>
        <v>Q2 23</v>
      </c>
      <c r="I1450" s="579" t="str">
        <f t="shared" si="83"/>
        <v>Q3 23</v>
      </c>
      <c r="J1450" s="579" t="str">
        <f t="shared" si="83"/>
        <v>Q4 23</v>
      </c>
      <c r="K1450" s="579" t="str">
        <f t="shared" si="83"/>
        <v>Q1 24</v>
      </c>
      <c r="L1450" s="579" t="str">
        <f t="shared" si="83"/>
        <v>Q2 24</v>
      </c>
    </row>
    <row r="1451" spans="2:14" x14ac:dyDescent="0.55000000000000004">
      <c r="B1451" s="552" t="s">
        <v>2364</v>
      </c>
      <c r="C1451" s="552">
        <f>bcb!AA18</f>
        <v>227149</v>
      </c>
      <c r="D1451" s="552">
        <f>bcb!AA21</f>
        <v>237065</v>
      </c>
      <c r="E1451" s="552">
        <f>bcb!AA24</f>
        <v>244167</v>
      </c>
      <c r="F1451" s="552">
        <f>bcb!AA27</f>
        <v>250006</v>
      </c>
      <c r="G1451" s="552">
        <f>bcb!AA30</f>
        <v>253549</v>
      </c>
      <c r="H1451" s="552">
        <f>bcb!AA33</f>
        <v>257222</v>
      </c>
      <c r="I1451" s="552">
        <f>bcb!AA36</f>
        <v>261197</v>
      </c>
      <c r="J1451" s="552">
        <f>bcb!AA39</f>
        <v>265344</v>
      </c>
      <c r="K1451" s="552">
        <f>bcb!AA42</f>
        <v>287134</v>
      </c>
      <c r="L1451" s="552">
        <f>bcb!AA45</f>
        <v>296419</v>
      </c>
    </row>
    <row r="1452" spans="2:14" x14ac:dyDescent="0.55000000000000004">
      <c r="B1452" s="552" t="s">
        <v>2365</v>
      </c>
      <c r="C1452" s="567">
        <f>C1451/C1439</f>
        <v>47921.729957805903</v>
      </c>
      <c r="D1452" s="567">
        <f t="shared" ref="D1452:L1452" si="84">D1451/D1439</f>
        <v>45069.391634980988</v>
      </c>
      <c r="E1452" s="567">
        <f t="shared" si="84"/>
        <v>45086.695595974517</v>
      </c>
      <c r="F1452" s="567">
        <f t="shared" si="84"/>
        <v>47349.621212121208</v>
      </c>
      <c r="G1452" s="567">
        <f t="shared" si="84"/>
        <v>50108.498023715416</v>
      </c>
      <c r="H1452" s="567">
        <f t="shared" si="84"/>
        <v>53699.791231732779</v>
      </c>
      <c r="I1452" s="567">
        <f t="shared" si="84"/>
        <v>51824.80158730159</v>
      </c>
      <c r="J1452" s="567">
        <f t="shared" si="84"/>
        <v>54597.530864197528</v>
      </c>
      <c r="K1452" s="567">
        <f t="shared" si="84"/>
        <v>57312.1756487026</v>
      </c>
      <c r="L1452" s="567">
        <f t="shared" si="84"/>
        <v>53026.654740608232</v>
      </c>
    </row>
    <row r="1454" spans="2:14" x14ac:dyDescent="0.55000000000000004">
      <c r="B1454" s="552" t="s">
        <v>136</v>
      </c>
      <c r="C1454" s="568">
        <f>Quarts!M246</f>
        <v>2007.5</v>
      </c>
      <c r="D1454" s="568">
        <f>Quarts!N246</f>
        <v>1946.0530000000001</v>
      </c>
      <c r="E1454" s="568">
        <f>Quarts!O246</f>
        <v>1904.7350000000001</v>
      </c>
      <c r="F1454" s="568">
        <f>Quarts!P246</f>
        <v>1973</v>
      </c>
      <c r="G1454" s="568">
        <f>Quarts!R246-D1356</f>
        <v>2336</v>
      </c>
      <c r="H1454" s="568">
        <f>Quarts!S246-E1356</f>
        <v>2792</v>
      </c>
      <c r="I1454" s="568">
        <f>Quarts!T246-F1356</f>
        <v>3090.9780000000001</v>
      </c>
      <c r="J1454" s="568">
        <f>Quarts!U246-G1356</f>
        <v>3701.1852075720999</v>
      </c>
      <c r="K1454" s="568">
        <f>Quarts!V246-H1356</f>
        <v>3687.0969066861148</v>
      </c>
      <c r="L1454" s="568">
        <f>Quarts!W246-I1356</f>
        <v>4431.0719738276994</v>
      </c>
      <c r="M1454" s="568"/>
      <c r="N1454" s="568"/>
    </row>
    <row r="1455" spans="2:14" x14ac:dyDescent="0.55000000000000004">
      <c r="B1455" s="613" t="s">
        <v>1169</v>
      </c>
      <c r="C1455" s="615">
        <f>C1454/C1452</f>
        <v>4.18912255832075E-2</v>
      </c>
      <c r="D1455" s="615">
        <f t="shared" ref="D1455:L1455" si="85">D1454/D1452</f>
        <v>4.3179038575918004E-2</v>
      </c>
      <c r="E1455" s="615">
        <f t="shared" si="85"/>
        <v>4.2246054513918753E-2</v>
      </c>
      <c r="F1455" s="615">
        <f t="shared" si="85"/>
        <v>4.1668759949761207E-2</v>
      </c>
      <c r="G1455" s="615">
        <f t="shared" si="85"/>
        <v>4.6618838962094108E-2</v>
      </c>
      <c r="H1455" s="615">
        <f t="shared" si="85"/>
        <v>5.1992753341471569E-2</v>
      </c>
      <c r="I1455" s="615">
        <f t="shared" si="85"/>
        <v>5.9642833263781739E-2</v>
      </c>
      <c r="J1455" s="615">
        <f t="shared" si="85"/>
        <v>6.7790340496865983E-2</v>
      </c>
      <c r="K1455" s="615">
        <f t="shared" si="85"/>
        <v>6.4333570745705601E-2</v>
      </c>
      <c r="L1455" s="615">
        <f t="shared" si="85"/>
        <v>8.3563106054931835E-2</v>
      </c>
    </row>
    <row r="1457" spans="2:12" x14ac:dyDescent="0.55000000000000004">
      <c r="B1457" s="574" t="s">
        <v>2368</v>
      </c>
      <c r="C1457" s="574">
        <v>2022</v>
      </c>
      <c r="D1457" s="574">
        <f>C1457+1</f>
        <v>2023</v>
      </c>
      <c r="E1457" s="574">
        <f t="shared" ref="E1457:K1457" si="86">D1457+1</f>
        <v>2024</v>
      </c>
      <c r="F1457" s="574">
        <f t="shared" si="86"/>
        <v>2025</v>
      </c>
      <c r="G1457" s="574">
        <f t="shared" si="86"/>
        <v>2026</v>
      </c>
      <c r="H1457" s="574">
        <f t="shared" si="86"/>
        <v>2027</v>
      </c>
      <c r="I1457" s="574">
        <f t="shared" si="86"/>
        <v>2028</v>
      </c>
      <c r="J1457" s="574">
        <f t="shared" si="86"/>
        <v>2029</v>
      </c>
      <c r="K1457" s="574">
        <f t="shared" si="86"/>
        <v>2030</v>
      </c>
      <c r="L1457" s="552"/>
    </row>
    <row r="1458" spans="2:12" x14ac:dyDescent="0.55000000000000004">
      <c r="B1458" s="552" t="s">
        <v>228</v>
      </c>
      <c r="C1458" s="567">
        <f>Drivers!G97</f>
        <v>9450.4216562406928</v>
      </c>
      <c r="D1458" s="567">
        <f>Drivers!H97</f>
        <v>14775.517307692306</v>
      </c>
      <c r="E1458" s="567">
        <f>Drivers!I97</f>
        <v>17886.571881134107</v>
      </c>
      <c r="F1458" s="567">
        <f>Drivers!J97</f>
        <v>23254.915876230589</v>
      </c>
      <c r="G1458" s="567">
        <f>Drivers!K97</f>
        <v>29595.154479567685</v>
      </c>
      <c r="H1458" s="567">
        <f>Drivers!L97</f>
        <v>35761.765174129185</v>
      </c>
      <c r="I1458" s="567">
        <f>Drivers!M97</f>
        <v>41644.097586719196</v>
      </c>
      <c r="J1458" s="567">
        <f>Drivers!N97</f>
        <v>46790.66358016897</v>
      </c>
      <c r="K1458" s="567">
        <f>Drivers!O97</f>
        <v>51941.714204345597</v>
      </c>
    </row>
    <row r="1459" spans="2:12" x14ac:dyDescent="0.55000000000000004">
      <c r="B1459" s="552" t="s">
        <v>229</v>
      </c>
      <c r="C1459" s="567">
        <f>Drivers!G147</f>
        <v>424.92225201072392</v>
      </c>
      <c r="D1459" s="567">
        <f>Drivers!H147</f>
        <v>780.80000000000007</v>
      </c>
      <c r="E1459" s="567">
        <f>Drivers!I147</f>
        <v>1121.9754454885128</v>
      </c>
      <c r="F1459" s="567">
        <f>Drivers!J147</f>
        <v>2457.9016147595635</v>
      </c>
      <c r="G1459" s="567">
        <f>Drivers!K147</f>
        <v>4492.960840853405</v>
      </c>
      <c r="H1459" s="567">
        <f>Drivers!L147</f>
        <v>6714.5946006594313</v>
      </c>
      <c r="I1459" s="567">
        <f>Drivers!M147</f>
        <v>8727.7031311881437</v>
      </c>
      <c r="J1459" s="567">
        <f>Drivers!N147</f>
        <v>10460.747443069511</v>
      </c>
      <c r="K1459" s="567">
        <f>Drivers!O147</f>
        <v>11874.223528256687</v>
      </c>
    </row>
    <row r="1460" spans="2:12" x14ac:dyDescent="0.55000000000000004">
      <c r="B1460" s="618" t="s">
        <v>230</v>
      </c>
      <c r="C1460" s="608">
        <f>Drivers!G178</f>
        <v>30.656091748584338</v>
      </c>
      <c r="D1460" s="608">
        <f>Drivers!H178</f>
        <v>59.682692307692861</v>
      </c>
      <c r="E1460" s="608">
        <f>Drivers!I178</f>
        <v>83.213996548324076</v>
      </c>
      <c r="F1460" s="608">
        <f>Drivers!J178</f>
        <v>148.04409272022747</v>
      </c>
      <c r="G1460" s="608">
        <f>Drivers!K178</f>
        <v>303.3163665126271</v>
      </c>
      <c r="H1460" s="608">
        <f>Drivers!L178</f>
        <v>523.12425006875708</v>
      </c>
      <c r="I1460" s="608">
        <f>Drivers!M178</f>
        <v>758.25405154606801</v>
      </c>
      <c r="J1460" s="608">
        <f>Drivers!N178</f>
        <v>934.62901375941408</v>
      </c>
      <c r="K1460" s="608">
        <f>Drivers!O178</f>
        <v>1116.5755253470463</v>
      </c>
    </row>
    <row r="1461" spans="2:12" x14ac:dyDescent="0.55000000000000004">
      <c r="B1461" s="552" t="s">
        <v>353</v>
      </c>
      <c r="C1461" s="567">
        <f>SUM(C1458:C1460)</f>
        <v>9906</v>
      </c>
      <c r="D1461" s="567">
        <f t="shared" ref="D1461:K1461" si="87">SUM(D1458:D1460)</f>
        <v>15615.999999999998</v>
      </c>
      <c r="E1461" s="567">
        <f t="shared" si="87"/>
        <v>19091.761323170944</v>
      </c>
      <c r="F1461" s="567">
        <f t="shared" si="87"/>
        <v>25860.861583710383</v>
      </c>
      <c r="G1461" s="567">
        <f>SUM(G1458:G1460)</f>
        <v>34391.43168693372</v>
      </c>
      <c r="H1461" s="567">
        <f t="shared" si="87"/>
        <v>42999.484024857375</v>
      </c>
      <c r="I1461" s="567">
        <f t="shared" si="87"/>
        <v>51130.054769453411</v>
      </c>
      <c r="J1461" s="567">
        <f t="shared" si="87"/>
        <v>58186.040036997896</v>
      </c>
      <c r="K1461" s="567">
        <f t="shared" si="87"/>
        <v>64932.513257949329</v>
      </c>
    </row>
    <row r="1462" spans="2:12" x14ac:dyDescent="0.55000000000000004">
      <c r="C1462" s="567"/>
      <c r="D1462" s="567"/>
      <c r="E1462" s="567"/>
      <c r="F1462" s="567"/>
    </row>
    <row r="1463" spans="2:12" x14ac:dyDescent="0.55000000000000004">
      <c r="B1463" s="828" t="s">
        <v>2421</v>
      </c>
      <c r="C1463" s="567"/>
      <c r="D1463" s="567"/>
      <c r="E1463" s="567"/>
      <c r="F1463" s="567"/>
    </row>
    <row r="1464" spans="2:12" x14ac:dyDescent="0.55000000000000004">
      <c r="B1464" s="552" t="str">
        <f>B1458</f>
        <v>Brazil</v>
      </c>
      <c r="C1464" s="567">
        <f>C1458/C$1461*C$1467</f>
        <v>7854.3631633181531</v>
      </c>
      <c r="D1464" s="567">
        <f t="shared" ref="D1464:K1464" si="88">D1458/D$1461*D$1467</f>
        <v>11745.855011378862</v>
      </c>
      <c r="E1464" s="567">
        <f t="shared" si="88"/>
        <v>12943.783695825367</v>
      </c>
      <c r="F1464" s="567">
        <f t="shared" si="88"/>
        <v>15728.30047183862</v>
      </c>
      <c r="G1464" s="567">
        <f t="shared" si="88"/>
        <v>18764.309504141071</v>
      </c>
      <c r="H1464" s="567">
        <f t="shared" si="88"/>
        <v>21558.769363670388</v>
      </c>
      <c r="I1464" s="567">
        <f t="shared" si="88"/>
        <v>24367.587898586829</v>
      </c>
      <c r="J1464" s="567">
        <f t="shared" si="88"/>
        <v>27234.711652576349</v>
      </c>
      <c r="K1464" s="567">
        <f t="shared" si="88"/>
        <v>30393.896811350151</v>
      </c>
    </row>
    <row r="1465" spans="2:12" x14ac:dyDescent="0.55000000000000004">
      <c r="B1465" s="552" t="str">
        <f>B1459</f>
        <v>Mexico</v>
      </c>
      <c r="C1465" s="567">
        <f t="shared" ref="C1465:K1466" si="89">C1459/C$1461*C$1467</f>
        <v>353.1581769436998</v>
      </c>
      <c r="D1465" s="567">
        <f t="shared" si="89"/>
        <v>620.70000000000016</v>
      </c>
      <c r="E1465" s="567">
        <f t="shared" si="89"/>
        <v>811.92794096829482</v>
      </c>
      <c r="F1465" s="567">
        <f t="shared" si="89"/>
        <v>1662.3846473110509</v>
      </c>
      <c r="G1465" s="567">
        <f t="shared" si="89"/>
        <v>2848.6861883408806</v>
      </c>
      <c r="H1465" s="567">
        <f t="shared" si="89"/>
        <v>4047.8537807435869</v>
      </c>
      <c r="I1465" s="567">
        <f t="shared" si="89"/>
        <v>5106.91996048493</v>
      </c>
      <c r="J1465" s="567">
        <f t="shared" si="89"/>
        <v>6088.7240847588473</v>
      </c>
      <c r="K1465" s="567">
        <f t="shared" si="89"/>
        <v>6948.2482463496663</v>
      </c>
    </row>
    <row r="1466" spans="2:12" x14ac:dyDescent="0.55000000000000004">
      <c r="B1466" s="618" t="str">
        <f>B1460</f>
        <v>Colombia</v>
      </c>
      <c r="C1466" s="608">
        <f t="shared" si="89"/>
        <v>25.478659738148075</v>
      </c>
      <c r="D1466" s="608">
        <f t="shared" si="89"/>
        <v>47.444988621138528</v>
      </c>
      <c r="E1466" s="608">
        <f t="shared" si="89"/>
        <v>60.218580672954047</v>
      </c>
      <c r="F1466" s="608">
        <f t="shared" si="89"/>
        <v>100.12859155360229</v>
      </c>
      <c r="G1466" s="608">
        <f t="shared" si="89"/>
        <v>192.31263627442181</v>
      </c>
      <c r="H1466" s="608">
        <f t="shared" si="89"/>
        <v>315.36237098089464</v>
      </c>
      <c r="I1466" s="608">
        <f t="shared" si="89"/>
        <v>443.68405899617528</v>
      </c>
      <c r="J1466" s="608">
        <f t="shared" si="89"/>
        <v>544.0049305617805</v>
      </c>
      <c r="K1466" s="608">
        <f t="shared" si="89"/>
        <v>653.36852699863221</v>
      </c>
    </row>
    <row r="1467" spans="2:12" x14ac:dyDescent="0.55000000000000004">
      <c r="B1467" s="552" t="str">
        <f>B1461</f>
        <v>Total</v>
      </c>
      <c r="C1467" s="567">
        <f>Drivers!G39</f>
        <v>8233</v>
      </c>
      <c r="D1467" s="567">
        <f>Drivers!H39</f>
        <v>12414</v>
      </c>
      <c r="E1467" s="567">
        <f>Drivers!I39</f>
        <v>13815.930217466615</v>
      </c>
      <c r="F1467" s="567">
        <f>Drivers!J39</f>
        <v>17490.813710703274</v>
      </c>
      <c r="G1467" s="567">
        <f>Drivers!K39</f>
        <v>21805.308328756375</v>
      </c>
      <c r="H1467" s="567">
        <f>Drivers!L39</f>
        <v>25921.98551539487</v>
      </c>
      <c r="I1467" s="567">
        <f>Drivers!M39</f>
        <v>29918.191918067936</v>
      </c>
      <c r="J1467" s="567">
        <f>Drivers!N39</f>
        <v>33867.440667896975</v>
      </c>
      <c r="K1467" s="567">
        <f>Drivers!O39</f>
        <v>37995.513584698449</v>
      </c>
    </row>
    <row r="1468" spans="2:12" x14ac:dyDescent="0.55000000000000004">
      <c r="B1468" s="567"/>
      <c r="C1468" s="567"/>
      <c r="D1468" s="567"/>
      <c r="E1468" s="567"/>
      <c r="F1468" s="567"/>
    </row>
    <row r="1469" spans="2:12" x14ac:dyDescent="0.55000000000000004">
      <c r="B1469" s="828" t="s">
        <v>2422</v>
      </c>
      <c r="C1469" s="567"/>
      <c r="D1469" s="567"/>
      <c r="E1469" s="567"/>
      <c r="F1469" s="567"/>
    </row>
    <row r="1470" spans="2:12" x14ac:dyDescent="0.55000000000000004">
      <c r="B1470" s="828" t="str">
        <f>B1464</f>
        <v>Brazil</v>
      </c>
      <c r="C1470" s="567">
        <f>C1464/C$1461*C$1473</f>
        <v>1326.5040957229226</v>
      </c>
      <c r="D1470" s="567">
        <f t="shared" ref="D1470:K1470" si="90">D1464/D$1461*D$1473</f>
        <v>2408.4418382706917</v>
      </c>
      <c r="E1470" s="567">
        <f t="shared" si="90"/>
        <v>3468.2584399860639</v>
      </c>
      <c r="F1470" s="567">
        <f t="shared" si="90"/>
        <v>4330.401154776202</v>
      </c>
      <c r="G1470" s="567">
        <f t="shared" si="90"/>
        <v>5060.8666441517289</v>
      </c>
      <c r="H1470" s="567">
        <f t="shared" si="90"/>
        <v>5913.6204472309628</v>
      </c>
      <c r="I1470" s="567">
        <f t="shared" si="90"/>
        <v>6857.7970047463004</v>
      </c>
      <c r="J1470" s="567">
        <f t="shared" si="90"/>
        <v>7735.6293712032857</v>
      </c>
      <c r="K1470" s="567">
        <f t="shared" si="90"/>
        <v>8702.6210266531452</v>
      </c>
    </row>
    <row r="1471" spans="2:12" x14ac:dyDescent="0.55000000000000004">
      <c r="B1471" s="828" t="str">
        <f>B1465</f>
        <v>Mexico</v>
      </c>
      <c r="C1471" s="567">
        <f>C1465/C$1461*C$1473</f>
        <v>59.644016760227117</v>
      </c>
      <c r="D1471" s="567">
        <f t="shared" ref="D1471:K1471" si="91">D1465/D$1461*D$1473</f>
        <v>127.27211834016398</v>
      </c>
      <c r="E1471" s="567">
        <f t="shared" si="91"/>
        <v>217.55431024639302</v>
      </c>
      <c r="F1471" s="567">
        <f t="shared" si="91"/>
        <v>457.6967746316505</v>
      </c>
      <c r="G1471" s="567">
        <f t="shared" si="91"/>
        <v>768.31076075826093</v>
      </c>
      <c r="H1471" s="567">
        <f t="shared" si="91"/>
        <v>1110.3356820331544</v>
      </c>
      <c r="I1471" s="567">
        <f t="shared" si="91"/>
        <v>1437.2460891183948</v>
      </c>
      <c r="J1471" s="567">
        <f t="shared" si="91"/>
        <v>1729.4147800811327</v>
      </c>
      <c r="K1471" s="567">
        <f t="shared" si="91"/>
        <v>1989.4774158905343</v>
      </c>
    </row>
    <row r="1472" spans="2:12" x14ac:dyDescent="0.55000000000000004">
      <c r="B1472" s="1312" t="str">
        <f>B1466</f>
        <v>Colombia</v>
      </c>
      <c r="C1472" s="608">
        <f>C1466/C$1461*C$1473</f>
        <v>4.3030282396448341</v>
      </c>
      <c r="D1472" s="608">
        <f t="shared" ref="D1472:K1472" si="92">D1466/D$1461*D$1473</f>
        <v>9.7284101924235138</v>
      </c>
      <c r="E1472" s="608">
        <f t="shared" si="92"/>
        <v>16.135436559428456</v>
      </c>
      <c r="F1472" s="608">
        <f t="shared" si="92"/>
        <v>27.567947933483687</v>
      </c>
      <c r="G1472" s="608">
        <f t="shared" si="92"/>
        <v>51.868074652857104</v>
      </c>
      <c r="H1472" s="608">
        <f t="shared" si="92"/>
        <v>86.504629919300243</v>
      </c>
      <c r="I1472" s="608">
        <f t="shared" si="92"/>
        <v>124.86649164869162</v>
      </c>
      <c r="J1472" s="608">
        <f t="shared" si="92"/>
        <v>154.51680093462727</v>
      </c>
      <c r="K1472" s="608">
        <f t="shared" si="92"/>
        <v>187.07764642697381</v>
      </c>
    </row>
    <row r="1473" spans="2:11" x14ac:dyDescent="0.55000000000000004">
      <c r="B1473" s="828" t="str">
        <f>B1467</f>
        <v>Total</v>
      </c>
      <c r="C1473" s="567">
        <f>Drivers!G37</f>
        <v>1673</v>
      </c>
      <c r="D1473" s="567">
        <f>Drivers!H37</f>
        <v>3202</v>
      </c>
      <c r="E1473" s="567">
        <f>Drivers!I37</f>
        <v>5115.5955553122285</v>
      </c>
      <c r="F1473" s="567">
        <f>Drivers!J37</f>
        <v>7120.1529412615355</v>
      </c>
      <c r="G1473" s="567">
        <f>Drivers!K37</f>
        <v>9275.6117367715942</v>
      </c>
      <c r="H1473" s="567">
        <f>Drivers!L37</f>
        <v>11794.858215714314</v>
      </c>
      <c r="I1473" s="567">
        <f>Drivers!M37</f>
        <v>14389.587426944578</v>
      </c>
      <c r="J1473" s="567">
        <f>Drivers!N37</f>
        <v>16526.910438636209</v>
      </c>
      <c r="K1473" s="567">
        <f>Drivers!O37</f>
        <v>18591.990974353841</v>
      </c>
    </row>
    <row r="1474" spans="2:11" x14ac:dyDescent="0.55000000000000004">
      <c r="C1474" s="567"/>
      <c r="D1474" s="567"/>
      <c r="E1474" s="567"/>
      <c r="F1474" s="567"/>
    </row>
    <row r="1475" spans="2:11" x14ac:dyDescent="0.55000000000000004">
      <c r="B1475" s="613" t="s">
        <v>481</v>
      </c>
    </row>
    <row r="1476" spans="2:11" x14ac:dyDescent="0.55000000000000004">
      <c r="B1476" s="567" t="str">
        <f>B1458</f>
        <v>Brazil</v>
      </c>
      <c r="C1476" s="575">
        <f t="shared" ref="C1476:K1476" si="93">C1458/C$1461</f>
        <v>0.95400985829201423</v>
      </c>
      <c r="D1476" s="575">
        <f t="shared" si="93"/>
        <v>0.94617810628152588</v>
      </c>
      <c r="E1476" s="575">
        <f t="shared" si="93"/>
        <v>0.93687384722465894</v>
      </c>
      <c r="F1476" s="575">
        <f t="shared" si="93"/>
        <v>0.89923206158292635</v>
      </c>
      <c r="G1476" s="575">
        <f t="shared" si="93"/>
        <v>0.86053860010752981</v>
      </c>
      <c r="H1476" s="575">
        <f t="shared" si="93"/>
        <v>0.83167893720435881</v>
      </c>
      <c r="I1476" s="575">
        <f t="shared" si="93"/>
        <v>0.81447394833612807</v>
      </c>
      <c r="J1476" s="575">
        <f t="shared" si="93"/>
        <v>0.80415617819011032</v>
      </c>
      <c r="K1476" s="575">
        <f t="shared" si="93"/>
        <v>0.79993383280889196</v>
      </c>
    </row>
    <row r="1477" spans="2:11" x14ac:dyDescent="0.55000000000000004">
      <c r="B1477" s="567" t="str">
        <f>B1459</f>
        <v>Mexico</v>
      </c>
      <c r="C1477" s="575">
        <f t="shared" ref="C1477:K1477" si="94">C1459/C$1461</f>
        <v>4.2895442359249338E-2</v>
      </c>
      <c r="D1477" s="575">
        <f t="shared" si="94"/>
        <v>5.000000000000001E-2</v>
      </c>
      <c r="E1477" s="575">
        <f t="shared" si="94"/>
        <v>5.8767518957342821E-2</v>
      </c>
      <c r="F1477" s="575">
        <f t="shared" si="94"/>
        <v>9.5043299574666243E-2</v>
      </c>
      <c r="G1477" s="575">
        <f t="shared" si="94"/>
        <v>0.13064186689734142</v>
      </c>
      <c r="H1477" s="575">
        <f t="shared" si="94"/>
        <v>0.15615523657860225</v>
      </c>
      <c r="I1477" s="575">
        <f t="shared" si="94"/>
        <v>0.17069614281740078</v>
      </c>
      <c r="J1477" s="575">
        <f t="shared" si="94"/>
        <v>0.17978105120090646</v>
      </c>
      <c r="K1477" s="575">
        <f t="shared" si="94"/>
        <v>0.18287022837211667</v>
      </c>
    </row>
    <row r="1478" spans="2:11" x14ac:dyDescent="0.55000000000000004">
      <c r="B1478" s="567" t="str">
        <f>B1460</f>
        <v>Colombia</v>
      </c>
      <c r="C1478" s="575">
        <f t="shared" ref="C1478:K1478" si="95">C1460/C$1461</f>
        <v>3.0946993487365572E-3</v>
      </c>
      <c r="D1478" s="575">
        <f t="shared" si="95"/>
        <v>3.8218937184741845E-3</v>
      </c>
      <c r="E1478" s="575">
        <f t="shared" si="95"/>
        <v>4.3586338179982601E-3</v>
      </c>
      <c r="F1478" s="575">
        <f t="shared" si="95"/>
        <v>5.7246388424073095E-3</v>
      </c>
      <c r="G1478" s="575">
        <f t="shared" si="95"/>
        <v>8.8195329951287135E-3</v>
      </c>
      <c r="H1478" s="575">
        <f t="shared" si="95"/>
        <v>1.2165826217038943E-2</v>
      </c>
      <c r="I1478" s="575">
        <f t="shared" si="95"/>
        <v>1.482990884647108E-2</v>
      </c>
      <c r="J1478" s="575">
        <f t="shared" si="95"/>
        <v>1.6062770608983278E-2</v>
      </c>
      <c r="K1478" s="575">
        <f t="shared" si="95"/>
        <v>1.7195938818991428E-2</v>
      </c>
    </row>
    <row r="1480" spans="2:11" x14ac:dyDescent="0.55000000000000004">
      <c r="B1480" s="574" t="s">
        <v>2369</v>
      </c>
      <c r="C1480" s="574">
        <f t="shared" ref="C1480:K1480" si="96">C1457</f>
        <v>2022</v>
      </c>
      <c r="D1480" s="574">
        <f t="shared" si="96"/>
        <v>2023</v>
      </c>
      <c r="E1480" s="574">
        <f t="shared" si="96"/>
        <v>2024</v>
      </c>
      <c r="F1480" s="574">
        <f t="shared" si="96"/>
        <v>2025</v>
      </c>
      <c r="G1480" s="574">
        <f t="shared" si="96"/>
        <v>2026</v>
      </c>
      <c r="H1480" s="574">
        <f t="shared" si="96"/>
        <v>2027</v>
      </c>
      <c r="I1480" s="574">
        <f t="shared" si="96"/>
        <v>2028</v>
      </c>
      <c r="J1480" s="574">
        <f t="shared" si="96"/>
        <v>2029</v>
      </c>
      <c r="K1480" s="574">
        <f t="shared" si="96"/>
        <v>2030</v>
      </c>
    </row>
    <row r="1481" spans="2:11" x14ac:dyDescent="0.55000000000000004">
      <c r="B1481" s="552" t="s">
        <v>2370</v>
      </c>
      <c r="C1481" s="567">
        <f>F1447</f>
        <v>70085.416666666657</v>
      </c>
      <c r="D1481" s="567">
        <f>J1447</f>
        <v>85148.559670781891</v>
      </c>
      <c r="E1481" s="552">
        <f>(1+E1482)*D1481</f>
        <v>91108.958847736634</v>
      </c>
      <c r="F1481" s="552">
        <f t="shared" ref="F1481:K1481" si="97">(1+F1482)*E1481</f>
        <v>97486.585967078208</v>
      </c>
      <c r="G1481" s="552">
        <f t="shared" si="97"/>
        <v>104310.64698477369</v>
      </c>
      <c r="H1481" s="552">
        <f t="shared" si="97"/>
        <v>111612.39227370785</v>
      </c>
      <c r="I1481" s="552">
        <f t="shared" si="97"/>
        <v>119425.25973286742</v>
      </c>
      <c r="J1481" s="552">
        <f t="shared" si="97"/>
        <v>127785.02791416814</v>
      </c>
      <c r="K1481" s="552">
        <f t="shared" si="97"/>
        <v>136729.97986815992</v>
      </c>
    </row>
    <row r="1482" spans="2:11" x14ac:dyDescent="0.55000000000000004">
      <c r="E1482" s="698">
        <v>7.0000000000000007E-2</v>
      </c>
      <c r="F1482" s="698">
        <v>7.0000000000000007E-2</v>
      </c>
      <c r="G1482" s="698">
        <v>7.0000000000000007E-2</v>
      </c>
      <c r="H1482" s="698">
        <v>7.0000000000000007E-2</v>
      </c>
      <c r="I1482" s="698">
        <v>7.0000000000000007E-2</v>
      </c>
      <c r="J1482" s="698">
        <v>7.0000000000000007E-2</v>
      </c>
      <c r="K1482" s="698">
        <v>7.0000000000000007E-2</v>
      </c>
    </row>
    <row r="1483" spans="2:11" x14ac:dyDescent="0.55000000000000004">
      <c r="B1483" s="552" t="s">
        <v>136</v>
      </c>
      <c r="C1483" s="567">
        <f>Drivers!G102</f>
        <v>7849.1857313077162</v>
      </c>
      <c r="D1483" s="567">
        <f>Drivers!H102</f>
        <v>11733.617307692306</v>
      </c>
      <c r="E1483" s="567">
        <f>Drivers!I102</f>
        <v>12914.323679005076</v>
      </c>
      <c r="F1483" s="567">
        <f>Drivers!J102</f>
        <v>15508.457676679607</v>
      </c>
      <c r="G1483" s="567">
        <f>Drivers!K102</f>
        <v>18142.025075501937</v>
      </c>
      <c r="H1483" s="567">
        <f>Drivers!L102</f>
        <v>20553.466006874161</v>
      </c>
      <c r="I1483" s="567">
        <f>Drivers!M102</f>
        <v>23002.959996056095</v>
      </c>
      <c r="J1483" s="567">
        <f>Drivers!N102</f>
        <v>25705.262299232472</v>
      </c>
      <c r="K1483" s="567">
        <f>Drivers!O102</f>
        <v>28683.863426496609</v>
      </c>
    </row>
    <row r="1484" spans="2:11" x14ac:dyDescent="0.55000000000000004">
      <c r="B1484" s="552" t="s">
        <v>1169</v>
      </c>
      <c r="C1484" s="611">
        <f>C1483/C1481</f>
        <v>0.11199456469866248</v>
      </c>
      <c r="D1484" s="611">
        <f t="shared" ref="D1484:K1484" si="98">D1483/D1481</f>
        <v>0.13780171212594933</v>
      </c>
      <c r="E1484" s="611">
        <f t="shared" si="98"/>
        <v>0.14174592534404643</v>
      </c>
      <c r="F1484" s="611">
        <f t="shared" si="98"/>
        <v>0.15908299098623582</v>
      </c>
      <c r="G1484" s="611">
        <f t="shared" si="98"/>
        <v>0.17392304237313516</v>
      </c>
      <c r="H1484" s="611">
        <f t="shared" si="98"/>
        <v>0.18415039394972157</v>
      </c>
      <c r="I1484" s="611">
        <f t="shared" si="98"/>
        <v>0.1926138578011849</v>
      </c>
      <c r="J1484" s="611">
        <f t="shared" si="98"/>
        <v>0.2011602041242142</v>
      </c>
      <c r="K1484" s="611">
        <f t="shared" si="98"/>
        <v>0.20978474109448891</v>
      </c>
    </row>
    <row r="1486" spans="2:11" x14ac:dyDescent="0.55000000000000004">
      <c r="B1486" s="552" t="s">
        <v>2392</v>
      </c>
      <c r="C1486" s="576">
        <v>611</v>
      </c>
      <c r="D1486" s="576">
        <v>1209</v>
      </c>
      <c r="E1486" s="1305">
        <v>2558.4693750000001</v>
      </c>
      <c r="F1486" s="1305">
        <v>3146.4812285156254</v>
      </c>
      <c r="G1486" s="1305">
        <v>3618.4534127929692</v>
      </c>
      <c r="H1486" s="1305">
        <v>4052.6678223281251</v>
      </c>
      <c r="I1486" s="1305">
        <v>4417.407926337657</v>
      </c>
      <c r="J1486" s="1305">
        <v>4726.6264811812925</v>
      </c>
      <c r="K1486" s="1305">
        <v>5057.4903348639837</v>
      </c>
    </row>
    <row r="1487" spans="2:11" x14ac:dyDescent="0.55000000000000004">
      <c r="B1487" s="828" t="s">
        <v>2397</v>
      </c>
      <c r="C1487" s="567">
        <f>C1486-C1488</f>
        <v>611</v>
      </c>
      <c r="D1487" s="567">
        <f t="shared" ref="D1487:K1487" si="99">D1486-D1488</f>
        <v>1068.4072320841551</v>
      </c>
      <c r="E1487" s="567">
        <f t="shared" si="99"/>
        <v>2197.2986710871742</v>
      </c>
      <c r="F1487" s="567">
        <f t="shared" si="99"/>
        <v>2020.566872670182</v>
      </c>
      <c r="G1487" s="567">
        <f t="shared" si="99"/>
        <v>1273.2854114803595</v>
      </c>
      <c r="H1487" s="567">
        <f t="shared" si="99"/>
        <v>643.02149694594937</v>
      </c>
      <c r="I1487" s="567">
        <f t="shared" si="99"/>
        <v>164.89608763859724</v>
      </c>
      <c r="J1487" s="567">
        <f t="shared" si="99"/>
        <v>-521.96410282190391</v>
      </c>
      <c r="K1487" s="567">
        <f t="shared" si="99"/>
        <v>-1240.8183659398528</v>
      </c>
    </row>
    <row r="1488" spans="2:11" x14ac:dyDescent="0.55000000000000004">
      <c r="B1488" s="828" t="s">
        <v>2398</v>
      </c>
      <c r="C1488" s="567">
        <f>C1498</f>
        <v>0</v>
      </c>
      <c r="D1488" s="567">
        <f t="shared" ref="D1488:K1488" si="100">D1498</f>
        <v>140.59276791584486</v>
      </c>
      <c r="E1488" s="567">
        <f t="shared" si="100"/>
        <v>361.17070391282607</v>
      </c>
      <c r="F1488" s="567">
        <f t="shared" si="100"/>
        <v>1125.9143558454434</v>
      </c>
      <c r="G1488" s="567">
        <f t="shared" si="100"/>
        <v>2345.1680013126097</v>
      </c>
      <c r="H1488" s="567">
        <f t="shared" si="100"/>
        <v>3409.6463253821757</v>
      </c>
      <c r="I1488" s="567">
        <f t="shared" si="100"/>
        <v>4252.5118386990598</v>
      </c>
      <c r="J1488" s="567">
        <f t="shared" si="100"/>
        <v>5248.5905840031965</v>
      </c>
      <c r="K1488" s="567">
        <f t="shared" si="100"/>
        <v>6298.3087008038365</v>
      </c>
    </row>
    <row r="1489" spans="2:11" x14ac:dyDescent="0.55000000000000004">
      <c r="B1489" s="552" t="s">
        <v>2399</v>
      </c>
      <c r="C1489" s="575">
        <f>C1487/C1486</f>
        <v>1</v>
      </c>
      <c r="D1489" s="575">
        <f t="shared" ref="D1489:K1489" si="101">D1487/D1486</f>
        <v>0.88371152364280825</v>
      </c>
      <c r="E1489" s="575">
        <f t="shared" si="101"/>
        <v>0.85883329015309162</v>
      </c>
      <c r="F1489" s="575">
        <f t="shared" si="101"/>
        <v>0.64216714670292141</v>
      </c>
      <c r="G1489" s="575">
        <f t="shared" si="101"/>
        <v>0.35188663946278387</v>
      </c>
      <c r="H1489" s="575">
        <f t="shared" si="101"/>
        <v>0.15866622312424178</v>
      </c>
      <c r="I1489" s="575">
        <f t="shared" si="101"/>
        <v>3.7328698274715987E-2</v>
      </c>
      <c r="J1489" s="575">
        <f t="shared" si="101"/>
        <v>-0.1104305798014852</v>
      </c>
      <c r="K1489" s="575">
        <f t="shared" si="101"/>
        <v>-0.24534270631942265</v>
      </c>
    </row>
    <row r="1491" spans="2:11" x14ac:dyDescent="0.55000000000000004">
      <c r="B1491" s="613" t="s">
        <v>229</v>
      </c>
    </row>
    <row r="1492" spans="2:11" x14ac:dyDescent="0.55000000000000004">
      <c r="B1492" s="552" t="s">
        <v>2395</v>
      </c>
      <c r="C1492" s="580">
        <f>Drivers!G140</f>
        <v>2.3626809651474536</v>
      </c>
      <c r="D1492" s="580">
        <f>Drivers!H140</f>
        <v>3.887539936102236</v>
      </c>
      <c r="E1492" s="580">
        <f>Drivers!I140</f>
        <v>4.6597444089456861</v>
      </c>
      <c r="F1492" s="580">
        <f>Drivers!J140</f>
        <v>8.732108626198082</v>
      </c>
      <c r="G1492" s="580">
        <f>Drivers!K140</f>
        <v>13.410862619808306</v>
      </c>
      <c r="H1492" s="580">
        <f>Drivers!L140</f>
        <v>17.723642172523959</v>
      </c>
      <c r="I1492" s="580">
        <f>Drivers!M140</f>
        <v>20.52364217252396</v>
      </c>
      <c r="J1492" s="580">
        <f>Drivers!N140</f>
        <v>21.923642172523959</v>
      </c>
      <c r="K1492" s="580">
        <f>Drivers!O140</f>
        <v>22.623642172523958</v>
      </c>
    </row>
    <row r="1493" spans="2:11" x14ac:dyDescent="0.55000000000000004">
      <c r="B1493" s="552" t="s">
        <v>2393</v>
      </c>
      <c r="C1493" s="580">
        <f t="shared" ref="C1493:K1493" si="102">C1459/C1492</f>
        <v>179.84749455337689</v>
      </c>
      <c r="D1493" s="580">
        <f t="shared" si="102"/>
        <v>200.8468113083498</v>
      </c>
      <c r="E1493" s="580">
        <f t="shared" si="102"/>
        <v>240.7804692752174</v>
      </c>
      <c r="F1493" s="580">
        <f t="shared" si="102"/>
        <v>281.47858896136086</v>
      </c>
      <c r="G1493" s="580">
        <f t="shared" si="102"/>
        <v>335.0240001875157</v>
      </c>
      <c r="H1493" s="580">
        <f t="shared" si="102"/>
        <v>378.84959170913066</v>
      </c>
      <c r="I1493" s="580">
        <f t="shared" si="102"/>
        <v>425.25118386990601</v>
      </c>
      <c r="J1493" s="580">
        <f t="shared" si="102"/>
        <v>477.14459854574511</v>
      </c>
      <c r="K1493" s="580">
        <f t="shared" si="102"/>
        <v>524.85905840031967</v>
      </c>
    </row>
    <row r="1494" spans="2:11" x14ac:dyDescent="0.55000000000000004">
      <c r="B1494" s="567"/>
      <c r="C1494" s="567"/>
      <c r="D1494" s="567"/>
      <c r="E1494" s="567"/>
      <c r="F1494" s="567"/>
    </row>
    <row r="1495" spans="2:11" x14ac:dyDescent="0.55000000000000004">
      <c r="C1495" s="580"/>
      <c r="D1495" s="580"/>
      <c r="E1495" s="580"/>
      <c r="F1495" s="580"/>
      <c r="G1495" s="580"/>
      <c r="H1495" s="580"/>
      <c r="I1495" s="580"/>
      <c r="J1495" s="580"/>
      <c r="K1495" s="580"/>
    </row>
    <row r="1496" spans="2:11" x14ac:dyDescent="0.55000000000000004">
      <c r="C1496" s="580"/>
      <c r="D1496" s="580"/>
      <c r="E1496" s="580"/>
      <c r="F1496" s="580"/>
      <c r="G1496" s="580"/>
      <c r="H1496" s="580"/>
      <c r="I1496" s="580"/>
      <c r="J1496" s="580"/>
      <c r="K1496" s="580"/>
    </row>
    <row r="1497" spans="2:11" x14ac:dyDescent="0.55000000000000004">
      <c r="B1497" s="552" t="s">
        <v>2396</v>
      </c>
      <c r="C1497" s="576">
        <v>0</v>
      </c>
      <c r="D1497" s="576">
        <v>0.7</v>
      </c>
      <c r="E1497" s="576">
        <v>1.5</v>
      </c>
      <c r="F1497" s="1175">
        <v>4</v>
      </c>
      <c r="G1497" s="1175">
        <v>7</v>
      </c>
      <c r="H1497" s="1175">
        <v>9</v>
      </c>
      <c r="I1497" s="1175">
        <v>10</v>
      </c>
      <c r="J1497" s="1175">
        <v>11</v>
      </c>
      <c r="K1497" s="1175">
        <v>12</v>
      </c>
    </row>
    <row r="1498" spans="2:11" x14ac:dyDescent="0.55000000000000004">
      <c r="B1498" s="552" t="s">
        <v>2394</v>
      </c>
      <c r="C1498" s="567"/>
      <c r="D1498" s="567">
        <f>D1497*D1493</f>
        <v>140.59276791584486</v>
      </c>
      <c r="E1498" s="567">
        <f>E1497*E1493</f>
        <v>361.17070391282607</v>
      </c>
      <c r="F1498" s="567">
        <f t="shared" ref="F1498:K1498" si="103">F1497*F1493</f>
        <v>1125.9143558454434</v>
      </c>
      <c r="G1498" s="567">
        <f t="shared" si="103"/>
        <v>2345.1680013126097</v>
      </c>
      <c r="H1498" s="567">
        <f t="shared" si="103"/>
        <v>3409.6463253821757</v>
      </c>
      <c r="I1498" s="567">
        <f t="shared" si="103"/>
        <v>4252.5118386990598</v>
      </c>
      <c r="J1498" s="567">
        <f t="shared" si="103"/>
        <v>5248.5905840031965</v>
      </c>
      <c r="K1498" s="567">
        <f t="shared" si="103"/>
        <v>6298.3087008038365</v>
      </c>
    </row>
    <row r="1499" spans="2:11" x14ac:dyDescent="0.55000000000000004">
      <c r="C1499" s="567"/>
      <c r="D1499" s="567"/>
      <c r="E1499" s="567"/>
    </row>
    <row r="1502" spans="2:11" x14ac:dyDescent="0.55000000000000004">
      <c r="B1502" s="574" t="s">
        <v>2371</v>
      </c>
      <c r="C1502" s="574">
        <f t="shared" ref="C1502:I1502" si="104">C1457</f>
        <v>2022</v>
      </c>
      <c r="D1502" s="574">
        <f t="shared" si="104"/>
        <v>2023</v>
      </c>
      <c r="E1502" s="574">
        <f t="shared" si="104"/>
        <v>2024</v>
      </c>
      <c r="F1502" s="574">
        <f t="shared" si="104"/>
        <v>2025</v>
      </c>
      <c r="G1502" s="574">
        <f t="shared" si="104"/>
        <v>2026</v>
      </c>
      <c r="H1502" s="574">
        <f t="shared" si="104"/>
        <v>2027</v>
      </c>
      <c r="I1502" s="574">
        <f t="shared" si="104"/>
        <v>2028</v>
      </c>
    </row>
    <row r="1503" spans="2:11" x14ac:dyDescent="0.55000000000000004">
      <c r="B1503" s="613" t="s">
        <v>1168</v>
      </c>
      <c r="C1503" s="613"/>
      <c r="D1503" s="613"/>
      <c r="E1503" s="613"/>
      <c r="F1503" s="613"/>
      <c r="G1503" s="613"/>
      <c r="H1503" s="613"/>
      <c r="I1503" s="613"/>
    </row>
    <row r="1504" spans="2:11" x14ac:dyDescent="0.55000000000000004">
      <c r="B1504" s="552" t="str">
        <f>B1458</f>
        <v>Brazil</v>
      </c>
      <c r="C1504" s="567"/>
      <c r="E1504" s="567" cm="1">
        <f t="array" ref="E1504">_xll.VAData("NU_BR", "FY-2024", "Credit card loans - Brazil", "Consensus", "CD", "","","")</f>
        <v>16285.531128934934</v>
      </c>
      <c r="F1504" s="567" cm="1">
        <f t="array" ref="F1504">_xll.VAData("NU_BR", "FY-2025", "Credit card loans - Brazil", "Consensus", "CD", "","","")</f>
        <v>20188.198172141932</v>
      </c>
      <c r="G1504" s="567" cm="1">
        <f t="array" ref="G1504">_xll.VAData("NU_BR", "FY-2026", "Credit card loans - Brazil", "Consensus", "CD", "","","")</f>
        <v>24134.389844690268</v>
      </c>
      <c r="H1504" s="567" cm="1">
        <f t="array" ref="H1504">_xll.VAData("NU_BR", "FY-2027", "Credit card loans - Brazil", "Consensus", "CD", "","","")</f>
        <v>29239.324552561666</v>
      </c>
      <c r="I1504" s="567" cm="1">
        <f t="array" ref="I1504">_xll.VAData("NU_BR", "FY-2028", "Credit card loans - Brazil", "Consensus", "CD", "","","")</f>
        <v>34431.797109695202</v>
      </c>
    </row>
    <row r="1505" spans="2:9" x14ac:dyDescent="0.55000000000000004">
      <c r="B1505" s="552" t="str">
        <f>B1459</f>
        <v>Mexico</v>
      </c>
      <c r="E1505" s="567" cm="1">
        <f t="array" ref="E1505">_xll.VAData("NU_BR", "FY-2024", "Credit card loans - Mexico", "Consensus", "CD", "","","")</f>
        <v>1157.6517332503033</v>
      </c>
      <c r="F1505" s="567" cm="1">
        <f t="array" ref="F1505">_xll.VAData("NU_BR", "FY-2025", "Credit card loans - Mexico", "Consensus", "CD", "","","")</f>
        <v>2146.2401296435232</v>
      </c>
      <c r="G1505" s="567" cm="1">
        <f t="array" ref="G1505">_xll.VAData("NU_BR", "FY-2026", "Credit card loans - Mexico", "Consensus", "CD", "","","")</f>
        <v>3568.9144083574033</v>
      </c>
      <c r="H1505" s="567" cm="1">
        <f t="array" ref="H1505">_xll.VAData("NU_BR", "FY-2027", "Credit card loans - Mexico", "Consensus", "CD", "","","")</f>
        <v>5254.4338110278168</v>
      </c>
      <c r="I1505" s="567" cm="1">
        <f t="array" ref="I1505">_xll.VAData("NU_BR", "FY-2028", "Credit card loans - Mexico", "Consensus", "CD", "","","")</f>
        <v>8215.1466534983447</v>
      </c>
    </row>
    <row r="1506" spans="2:9" x14ac:dyDescent="0.55000000000000004">
      <c r="B1506" s="618" t="str">
        <f>B1460</f>
        <v>Colombia</v>
      </c>
      <c r="C1506" s="618"/>
      <c r="D1506" s="618"/>
      <c r="E1506" s="608">
        <f>E1507-E1504-E1505</f>
        <v>545.79857798016315</v>
      </c>
      <c r="F1506" s="608">
        <f>F1507-F1504-F1505</f>
        <v>1377.7665720906775</v>
      </c>
      <c r="G1506" s="608">
        <f t="shared" ref="G1506:I1506" si="105">G1507-G1504-G1505</f>
        <v>2860.4503883769535</v>
      </c>
      <c r="H1506" s="608">
        <f t="shared" si="105"/>
        <v>2228.361034215277</v>
      </c>
      <c r="I1506" s="608">
        <f t="shared" si="105"/>
        <v>2516.9683934260647</v>
      </c>
    </row>
    <row r="1507" spans="2:9" x14ac:dyDescent="0.55000000000000004">
      <c r="B1507" s="552" t="s">
        <v>345</v>
      </c>
      <c r="E1507" s="567" cm="1">
        <f t="array" ref="E1507">_xll.VAData("NU_BR", "FY-2024", "Credit card loans", "Consensus", "CD", "","","")</f>
        <v>17988.9814401654</v>
      </c>
      <c r="F1507" s="567" cm="1">
        <f t="array" ref="F1507">_xll.VAData("NU_BR", "FY-2025", "Credit card loans", "Consensus", "CD", "","","")</f>
        <v>23712.204873876133</v>
      </c>
      <c r="G1507" s="567" cm="1">
        <f t="array" ref="G1507">_xll.VAData("NU_BR", "FY-2026", "Credit card loans", "Consensus", "CD", "","","")</f>
        <v>30563.754641424624</v>
      </c>
      <c r="H1507" s="567" cm="1">
        <f t="array" ref="H1507">_xll.VAData("NU_BR", "FY-2027", "Credit card loans", "Consensus", "CD", "","","")</f>
        <v>36722.11939780476</v>
      </c>
      <c r="I1507" s="567" cm="1">
        <f t="array" ref="I1507">_xll.VAData("NU_BR", "FY-2028", "Credit card loans", "Consensus", "CD", "","","")</f>
        <v>45163.912156619612</v>
      </c>
    </row>
    <row r="1508" spans="2:9" x14ac:dyDescent="0.55000000000000004">
      <c r="B1508" s="552" t="s">
        <v>218</v>
      </c>
      <c r="E1508" s="567" cm="1">
        <f t="array" ref="E1508">_xll.VAData("NU_BR", "FY-2024", "Other consumer loans", "Consensus", "CD", "","","")</f>
        <v>6053.0163309274249</v>
      </c>
      <c r="F1508" s="567" cm="1">
        <f t="array" ref="F1508">_xll.VAData("NU_BR", "FY-2025", "Other consumer loans", "Consensus", "CD", "","","")</f>
        <v>9481.7006032274585</v>
      </c>
      <c r="G1508" s="567" cm="1">
        <f t="array" ref="G1508">_xll.VAData("NU_BR", "FY-2026", "Other consumer loans", "Consensus", "CD", "","","")</f>
        <v>13435.751037894242</v>
      </c>
      <c r="H1508" s="567" cm="1">
        <f t="array" ref="H1508">_xll.VAData("NU_BR", "FY-2027", "Other consumer loans", "Consensus", "CD", "","","")</f>
        <v>19557.075178409083</v>
      </c>
      <c r="I1508" s="567" cm="1">
        <f t="array" ref="I1508">_xll.VAData("NU_BR", "FY-2028", "Other consumer loans", "Consensus", "CD", "","","")</f>
        <v>22287.8023378377</v>
      </c>
    </row>
    <row r="1509" spans="2:9" x14ac:dyDescent="0.55000000000000004">
      <c r="B1509" s="618" t="s">
        <v>1287</v>
      </c>
      <c r="C1509" s="618"/>
      <c r="D1509" s="618"/>
      <c r="E1509" s="608" cm="1">
        <f t="array" ref="E1509">_xll.VAData("NU_BR", "FY-2024", "Other loans - gross", "Consensus", "CD", "","","")</f>
        <v>1200</v>
      </c>
      <c r="F1509" s="608" cm="1">
        <f t="array" ref="F1509">_xll.VAData("NU_BR", "FY-2025", "Other loans - gross", "Consensus", "CD", "","","")</f>
        <v>5340.6593406593402</v>
      </c>
      <c r="G1509" s="608" cm="1">
        <f t="array" ref="G1509">_xll.VAData("NU_BR", "FY-2026", "Other loans - gross", "Consensus", "CD", "","","")</f>
        <v>9855.27</v>
      </c>
      <c r="H1509" s="608" cm="1">
        <f t="array" ref="H1509">_xll.VAData("NU_BR", "FY-2027", "Other loans - gross", "Consensus", "CD", "","","")</f>
        <v>14591.2255351685</v>
      </c>
      <c r="I1509" s="608" cm="1">
        <f t="array" ref="I1509">_xll.VAData("NU_BR", "FY-2028", "Other loans - gross", "Consensus", "CD", "","","")</f>
        <v>19851.201253466901</v>
      </c>
    </row>
    <row r="1510" spans="2:9" x14ac:dyDescent="0.55000000000000004">
      <c r="B1510" s="552" t="s">
        <v>353</v>
      </c>
      <c r="C1510" s="567" cm="1">
        <f t="array" ref="C1510">_xll.VAData("NU_BR", "FY-2022", "Gross loans", "Consensus", "CD", "","","")</f>
        <v>11260.721158706074</v>
      </c>
      <c r="D1510" s="567" cm="1">
        <f t="array" ref="D1510">_xll.VAData("NU_BR", "FY-2023", "Gross loans", "Consensus", "CD", "","","")</f>
        <v>18166.771646479192</v>
      </c>
      <c r="E1510" s="567" cm="1">
        <f t="array" ref="E1510">_xll.VAData("NU_BR", "FY-2024", "Gross loans", "Consensus", "CD", "","","")</f>
        <v>24175.33110442615</v>
      </c>
      <c r="F1510" s="567" cm="1">
        <f t="array" ref="F1510">_xll.VAData("NU_BR", "FY-2025", "Gross loans", "Consensus", "CD", "","","")</f>
        <v>33880.108163306286</v>
      </c>
      <c r="G1510" s="567" cm="1">
        <f t="array" ref="G1510">_xll.VAData("NU_BR", "FY-2026", "Gross loans", "Consensus", "CD", "","","")</f>
        <v>45282.190000306524</v>
      </c>
      <c r="H1510" s="567" cm="1">
        <f t="array" ref="H1510">_xll.VAData("NU_BR", "FY-2027", "Gross loans", "Consensus", "CD", "","","")</f>
        <v>58790.621659087046</v>
      </c>
      <c r="I1510" s="567" cm="1">
        <f t="array" ref="I1510">_xll.VAData("NU_BR", "FY-2028", "Gross loans", "Consensus", "CD", "","","")</f>
        <v>71507.439047937762</v>
      </c>
    </row>
    <row r="1511" spans="2:9" x14ac:dyDescent="0.55000000000000004">
      <c r="F1511" s="567"/>
    </row>
    <row r="1512" spans="2:9" x14ac:dyDescent="0.55000000000000004">
      <c r="B1512" s="552" t="str">
        <f>B1461</f>
        <v>Total</v>
      </c>
      <c r="E1512" s="567" cm="1">
        <f t="array" ref="E1512">_xll.VAData("NU_BR", "FY-2024", "Gross loans", "Consensus", "CD", "","","")</f>
        <v>24175.33110442615</v>
      </c>
      <c r="F1512" s="567" cm="1">
        <f t="array" ref="F1512">_xll.VAData("NU_BR", "FY-2025", "Gross loans", "Consensus", "CD", "","","")</f>
        <v>33880.108163306286</v>
      </c>
      <c r="G1512" s="567" cm="1">
        <f t="array" ref="G1512">_xll.VAData("NU_BR", "FY-2026", "Gross loans", "Consensus", "CD", "","","")</f>
        <v>45282.190000306524</v>
      </c>
      <c r="H1512" s="567" cm="1">
        <f t="array" ref="H1512">_xll.VAData("NU_BR", "FY-2027", "Gross loans", "Consensus", "CD", "","","")</f>
        <v>58790.621659087046</v>
      </c>
      <c r="I1512" s="567" cm="1">
        <f t="array" ref="I1512">_xll.VAData("NU_BR", "FY-2028", "Gross loans", "Consensus", "CD", "","","")</f>
        <v>71507.439047937762</v>
      </c>
    </row>
    <row r="1514" spans="2:9" x14ac:dyDescent="0.55000000000000004">
      <c r="B1514" s="613" t="s">
        <v>1</v>
      </c>
    </row>
    <row r="1515" spans="2:9" x14ac:dyDescent="0.55000000000000004">
      <c r="B1515" s="552" t="str">
        <f>B1504</f>
        <v>Brazil</v>
      </c>
      <c r="C1515" s="567">
        <f t="shared" ref="C1515:I1517" si="106">C1458/C$1461*C$1518</f>
        <v>10739.288974793204</v>
      </c>
      <c r="D1515" s="567">
        <f t="shared" si="106"/>
        <v>17243.149808874528</v>
      </c>
      <c r="E1515" s="567">
        <f t="shared" si="106"/>
        <v>21016.533890176946</v>
      </c>
      <c r="F1515" s="567">
        <f t="shared" si="106"/>
        <v>27183.31888498841</v>
      </c>
      <c r="G1515" s="567">
        <f t="shared" si="106"/>
        <v>34373.234568132277</v>
      </c>
      <c r="H1515" s="567">
        <f t="shared" si="106"/>
        <v>41387.010785328617</v>
      </c>
      <c r="I1515" s="567">
        <f t="shared" si="106"/>
        <v>48125.884882087987</v>
      </c>
    </row>
    <row r="1516" spans="2:9" x14ac:dyDescent="0.55000000000000004">
      <c r="B1516" s="552" t="str">
        <f>B1505</f>
        <v>Mexico</v>
      </c>
      <c r="C1516" s="567">
        <f t="shared" si="106"/>
        <v>482.8739946380698</v>
      </c>
      <c r="D1516" s="567">
        <f t="shared" si="106"/>
        <v>911.20000000000016</v>
      </c>
      <c r="E1516" s="567">
        <f t="shared" si="106"/>
        <v>1318.309351325549</v>
      </c>
      <c r="F1516" s="567">
        <f t="shared" si="106"/>
        <v>2873.109657224315</v>
      </c>
      <c r="G1516" s="567">
        <f t="shared" si="106"/>
        <v>5218.3406237906174</v>
      </c>
      <c r="H1516" s="567">
        <f t="shared" si="106"/>
        <v>7770.7853011024672</v>
      </c>
      <c r="I1516" s="567">
        <f t="shared" si="106"/>
        <v>10086.145708931186</v>
      </c>
    </row>
    <row r="1517" spans="2:9" x14ac:dyDescent="0.55000000000000004">
      <c r="B1517" s="618" t="str">
        <f>B1506</f>
        <v>Colombia</v>
      </c>
      <c r="C1517" s="608">
        <f t="shared" si="106"/>
        <v>34.837030568727428</v>
      </c>
      <c r="D1517" s="608">
        <f t="shared" si="106"/>
        <v>69.65019112547354</v>
      </c>
      <c r="E1517" s="608">
        <f t="shared" si="106"/>
        <v>97.775570982360463</v>
      </c>
      <c r="F1517" s="608">
        <f t="shared" si="106"/>
        <v>173.05286344063273</v>
      </c>
      <c r="G1517" s="608">
        <f t="shared" si="106"/>
        <v>352.28620353004527</v>
      </c>
      <c r="H1517" s="608">
        <f t="shared" si="106"/>
        <v>605.41052362049106</v>
      </c>
      <c r="I1517" s="608">
        <f t="shared" si="106"/>
        <v>876.27417355107968</v>
      </c>
    </row>
    <row r="1518" spans="2:9" x14ac:dyDescent="0.55000000000000004">
      <c r="B1518" s="552" t="s">
        <v>353</v>
      </c>
      <c r="C1518" s="567">
        <f>Drivers!G48</f>
        <v>11257</v>
      </c>
      <c r="D1518" s="567">
        <f>Drivers!H48</f>
        <v>18224</v>
      </c>
      <c r="E1518" s="567">
        <f>Drivers!I48</f>
        <v>22432.618812484856</v>
      </c>
      <c r="F1518" s="567">
        <f>Drivers!J48</f>
        <v>30229.481405653361</v>
      </c>
      <c r="G1518" s="567">
        <f>Drivers!K48</f>
        <v>39943.861395452943</v>
      </c>
      <c r="H1518" s="567">
        <f>Drivers!L48</f>
        <v>49763.206610051573</v>
      </c>
      <c r="I1518" s="567">
        <f>Drivers!M48</f>
        <v>59088.304764570254</v>
      </c>
    </row>
    <row r="1520" spans="2:9" x14ac:dyDescent="0.55000000000000004">
      <c r="B1520" s="613" t="s">
        <v>481</v>
      </c>
    </row>
    <row r="1521" spans="2:9" x14ac:dyDescent="0.55000000000000004">
      <c r="B1521" s="552" t="str">
        <f>B1507</f>
        <v>Credit cards</v>
      </c>
      <c r="C1521" s="567">
        <f>Drivers!G52</f>
        <v>9284</v>
      </c>
      <c r="D1521" s="567">
        <f>Drivers!H52</f>
        <v>14510</v>
      </c>
      <c r="E1521" s="567">
        <f>Drivers!I52</f>
        <v>16254.035549960725</v>
      </c>
      <c r="F1521" s="567">
        <f>Drivers!J52</f>
        <v>20577.427894945031</v>
      </c>
      <c r="G1521" s="567">
        <f>Drivers!K52</f>
        <v>25653.30391618397</v>
      </c>
      <c r="H1521" s="567">
        <f>Drivers!L52</f>
        <v>30496.453547523379</v>
      </c>
      <c r="I1521" s="567">
        <f>Drivers!M52</f>
        <v>35197.872844785808</v>
      </c>
    </row>
    <row r="1522" spans="2:9" x14ac:dyDescent="0.55000000000000004">
      <c r="B1522" s="552" t="str">
        <f>B1508</f>
        <v>Personal loans</v>
      </c>
      <c r="C1522" s="567">
        <f>Drivers!G50</f>
        <v>1973</v>
      </c>
      <c r="D1522" s="567">
        <f>Drivers!H50</f>
        <v>3714</v>
      </c>
      <c r="E1522" s="567">
        <f>Drivers!I50</f>
        <v>6018.3477121320338</v>
      </c>
      <c r="F1522" s="567">
        <f>Drivers!J50</f>
        <v>8376.650519131219</v>
      </c>
      <c r="G1522" s="567">
        <f>Drivers!K50</f>
        <v>10912.484396201877</v>
      </c>
      <c r="H1522" s="567">
        <f>Drivers!L50</f>
        <v>13876.303783193311</v>
      </c>
      <c r="I1522" s="567">
        <f>Drivers!M50</f>
        <v>16928.926384640679</v>
      </c>
    </row>
    <row r="1523" spans="2:9" x14ac:dyDescent="0.55000000000000004">
      <c r="B1523" s="618" t="str">
        <f>B1509</f>
        <v>Other</v>
      </c>
      <c r="C1523" s="608">
        <f>Drivers!G54</f>
        <v>0</v>
      </c>
      <c r="D1523" s="608">
        <f>Drivers!H54</f>
        <v>0</v>
      </c>
      <c r="E1523" s="608">
        <f>Drivers!I54</f>
        <v>160.2355503920999</v>
      </c>
      <c r="F1523" s="608">
        <f>Drivers!J54</f>
        <v>1275.402991577113</v>
      </c>
      <c r="G1523" s="608">
        <f>Drivers!K54</f>
        <v>3378.0730830670923</v>
      </c>
      <c r="H1523" s="608">
        <f>Drivers!L54</f>
        <v>5390.4492793348818</v>
      </c>
      <c r="I1523" s="608">
        <f>Drivers!M54</f>
        <v>6961.5055351437704</v>
      </c>
    </row>
    <row r="1524" spans="2:9" x14ac:dyDescent="0.55000000000000004">
      <c r="B1524" s="552" t="s">
        <v>353</v>
      </c>
      <c r="C1524" s="567">
        <f>C1518</f>
        <v>11257</v>
      </c>
      <c r="D1524" s="567">
        <f t="shared" ref="D1524:I1524" si="107">D1518</f>
        <v>18224</v>
      </c>
      <c r="E1524" s="567">
        <f t="shared" si="107"/>
        <v>22432.618812484856</v>
      </c>
      <c r="F1524" s="567">
        <f t="shared" si="107"/>
        <v>30229.481405653361</v>
      </c>
      <c r="G1524" s="567">
        <f t="shared" si="107"/>
        <v>39943.861395452943</v>
      </c>
      <c r="H1524" s="567">
        <f t="shared" si="107"/>
        <v>49763.206610051573</v>
      </c>
      <c r="I1524" s="567">
        <f t="shared" si="107"/>
        <v>59088.304764570254</v>
      </c>
    </row>
    <row r="1526" spans="2:9" x14ac:dyDescent="0.55000000000000004">
      <c r="B1526" s="613" t="s">
        <v>2372</v>
      </c>
    </row>
    <row r="1527" spans="2:9" x14ac:dyDescent="0.55000000000000004">
      <c r="B1527" s="552" t="str">
        <f>B1521</f>
        <v>Credit cards</v>
      </c>
      <c r="E1527" s="575">
        <f>E1521/E1507-1</f>
        <v>-9.6444920796400768E-2</v>
      </c>
      <c r="F1527" s="575">
        <f t="shared" ref="F1527:I1527" si="108">F1521/F1507-1</f>
        <v>-0.13220099082328285</v>
      </c>
      <c r="G1527" s="575">
        <f t="shared" si="108"/>
        <v>-0.16066254891947307</v>
      </c>
      <c r="H1527" s="575">
        <f t="shared" si="108"/>
        <v>-0.16953449180968427</v>
      </c>
      <c r="I1527" s="575">
        <f t="shared" si="108"/>
        <v>-0.2206637741494476</v>
      </c>
    </row>
    <row r="1528" spans="2:9" x14ac:dyDescent="0.55000000000000004">
      <c r="B1528" s="552" t="str">
        <f t="shared" ref="B1528:B1530" si="109">B1522</f>
        <v>Personal loans</v>
      </c>
      <c r="E1528" s="575">
        <f t="shared" ref="E1528:I1528" si="110">E1522/E1508-1</f>
        <v>-5.727494673730571E-3</v>
      </c>
      <c r="F1528" s="575">
        <f t="shared" si="110"/>
        <v>-0.11654555763130647</v>
      </c>
      <c r="G1528" s="575">
        <f t="shared" si="110"/>
        <v>-0.18780242612234588</v>
      </c>
      <c r="H1528" s="575">
        <f t="shared" si="110"/>
        <v>-0.29047141985153879</v>
      </c>
      <c r="I1528" s="575">
        <f t="shared" si="110"/>
        <v>-0.2404398545880555</v>
      </c>
    </row>
    <row r="1529" spans="2:9" x14ac:dyDescent="0.55000000000000004">
      <c r="B1529" s="618" t="str">
        <f t="shared" si="109"/>
        <v>Other</v>
      </c>
      <c r="C1529" s="618"/>
      <c r="D1529" s="618"/>
      <c r="E1529" s="726">
        <f t="shared" ref="E1529:I1529" si="111">E1523/E1509-1</f>
        <v>-0.86647037467325005</v>
      </c>
      <c r="F1529" s="726">
        <f t="shared" si="111"/>
        <v>-0.76118997482815376</v>
      </c>
      <c r="G1529" s="726">
        <f t="shared" si="111"/>
        <v>-0.65723180764534184</v>
      </c>
      <c r="H1529" s="726">
        <f t="shared" si="111"/>
        <v>-0.63056912071281801</v>
      </c>
      <c r="I1529" s="726">
        <f t="shared" si="111"/>
        <v>-0.64931565368478728</v>
      </c>
    </row>
    <row r="1530" spans="2:9" x14ac:dyDescent="0.55000000000000004">
      <c r="B1530" s="552" t="str">
        <f t="shared" si="109"/>
        <v>Total</v>
      </c>
      <c r="E1530" s="575">
        <f t="shared" ref="E1530:I1530" si="112">E1524/E1510-1</f>
        <v>-7.2086387748469316E-2</v>
      </c>
      <c r="F1530" s="575">
        <f t="shared" si="112"/>
        <v>-0.10775133125480163</v>
      </c>
      <c r="G1530" s="575">
        <f t="shared" si="112"/>
        <v>-0.11789024790579794</v>
      </c>
      <c r="H1530" s="575">
        <f t="shared" si="112"/>
        <v>-0.15355195768099417</v>
      </c>
      <c r="I1530" s="575">
        <f t="shared" si="112"/>
        <v>-0.17367611606174094</v>
      </c>
    </row>
    <row r="1532" spans="2:9" x14ac:dyDescent="0.55000000000000004">
      <c r="B1532" s="613" t="s">
        <v>228</v>
      </c>
    </row>
    <row r="1534" spans="2:9" x14ac:dyDescent="0.55000000000000004">
      <c r="B1534" s="574" t="s">
        <v>2405</v>
      </c>
      <c r="C1534" s="574">
        <f>C1502</f>
        <v>2022</v>
      </c>
      <c r="D1534" s="574">
        <f t="shared" ref="D1534:I1534" si="113">D1502</f>
        <v>2023</v>
      </c>
      <c r="E1534" s="574">
        <f t="shared" si="113"/>
        <v>2024</v>
      </c>
      <c r="F1534" s="574">
        <f t="shared" si="113"/>
        <v>2025</v>
      </c>
      <c r="G1534" s="574">
        <f t="shared" si="113"/>
        <v>2026</v>
      </c>
      <c r="H1534" s="574">
        <f t="shared" si="113"/>
        <v>2027</v>
      </c>
      <c r="I1534" s="574">
        <f t="shared" si="113"/>
        <v>2028</v>
      </c>
    </row>
    <row r="1535" spans="2:9" x14ac:dyDescent="0.55000000000000004">
      <c r="B1535" s="552" t="s">
        <v>2400</v>
      </c>
      <c r="C1535" s="1308">
        <f>F1441</f>
        <v>122168.3712121212</v>
      </c>
      <c r="D1535" s="1308">
        <f>J1441</f>
        <v>142894.03292181069</v>
      </c>
      <c r="E1535" s="568">
        <f>(1+E1536)*D1535</f>
        <v>152896.61522633745</v>
      </c>
      <c r="F1535" s="568">
        <f t="shared" ref="F1535:I1535" si="114">(1+F1536)*E1535</f>
        <v>163599.37829218109</v>
      </c>
      <c r="G1535" s="568">
        <f t="shared" si="114"/>
        <v>175051.33477263377</v>
      </c>
      <c r="H1535" s="568">
        <f t="shared" si="114"/>
        <v>187304.92820671815</v>
      </c>
      <c r="I1535" s="568">
        <f t="shared" si="114"/>
        <v>200416.27318118844</v>
      </c>
    </row>
    <row r="1536" spans="2:9" x14ac:dyDescent="0.55000000000000004">
      <c r="B1536" s="552" t="s">
        <v>2401</v>
      </c>
      <c r="D1536" s="575">
        <f>D1535/C1535-1</f>
        <v>0.16964834272615037</v>
      </c>
      <c r="E1536" s="698">
        <v>7.0000000000000007E-2</v>
      </c>
      <c r="F1536" s="698">
        <v>7.0000000000000007E-2</v>
      </c>
      <c r="G1536" s="698">
        <v>7.0000000000000007E-2</v>
      </c>
      <c r="H1536" s="698">
        <v>7.0000000000000007E-2</v>
      </c>
      <c r="I1536" s="698">
        <v>7.0000000000000007E-2</v>
      </c>
    </row>
    <row r="1537" spans="2:9" x14ac:dyDescent="0.55000000000000004">
      <c r="B1537" s="552" t="s">
        <v>218</v>
      </c>
      <c r="C1537" s="1308">
        <f>F1452</f>
        <v>47349.621212121208</v>
      </c>
      <c r="D1537" s="1308">
        <f>J1452</f>
        <v>54597.530864197528</v>
      </c>
      <c r="E1537" s="568">
        <f>(1+E1538)*D1537</f>
        <v>57327.407407407409</v>
      </c>
      <c r="F1537" s="568">
        <f t="shared" ref="F1537" si="115">(1+F1538)*E1537</f>
        <v>60193.777777777781</v>
      </c>
      <c r="G1537" s="568">
        <f t="shared" ref="G1537" si="116">(1+G1538)*F1537</f>
        <v>63203.466666666674</v>
      </c>
      <c r="H1537" s="568">
        <f t="shared" ref="H1537" si="117">(1+H1538)*G1537</f>
        <v>66363.640000000014</v>
      </c>
      <c r="I1537" s="568">
        <f t="shared" ref="I1537" si="118">(1+I1538)*H1537</f>
        <v>69681.822000000015</v>
      </c>
    </row>
    <row r="1538" spans="2:9" x14ac:dyDescent="0.55000000000000004">
      <c r="B1538" s="552" t="s">
        <v>2401</v>
      </c>
      <c r="D1538" s="575">
        <f>D1537/C1537-1</f>
        <v>0.15307217811957696</v>
      </c>
      <c r="E1538" s="698">
        <v>0.05</v>
      </c>
      <c r="F1538" s="698">
        <v>0.05</v>
      </c>
      <c r="G1538" s="698">
        <v>0.05</v>
      </c>
      <c r="H1538" s="698">
        <v>0.05</v>
      </c>
      <c r="I1538" s="698">
        <v>0.05</v>
      </c>
    </row>
    <row r="1540" spans="2:9" x14ac:dyDescent="0.55000000000000004">
      <c r="B1540" s="552" t="s">
        <v>2408</v>
      </c>
    </row>
    <row r="1541" spans="2:9" x14ac:dyDescent="0.55000000000000004">
      <c r="B1541" s="552" t="s">
        <v>136</v>
      </c>
      <c r="C1541" s="568">
        <f>Drivers!G102/(1-Drivers!G62)</f>
        <v>8851.1891569854051</v>
      </c>
      <c r="D1541" s="568">
        <f>Drivers!H102/(1-Drivers!H62)</f>
        <v>13714.740384615381</v>
      </c>
      <c r="E1541" s="568">
        <f>Drivers!I102/(1-Drivers!I62)</f>
        <v>15193.32197530009</v>
      </c>
      <c r="F1541" s="568">
        <f>Drivers!J102/(1-Drivers!J62)</f>
        <v>18245.24432550542</v>
      </c>
      <c r="G1541" s="568">
        <f>Drivers!K102/(1-Drivers!K62)</f>
        <v>21343.55891235522</v>
      </c>
      <c r="H1541" s="568">
        <f>Drivers!L102/(1-Drivers!L62)</f>
        <v>24180.548243381367</v>
      </c>
      <c r="I1541" s="568">
        <f>Drivers!M102/(1-Drivers!M62)</f>
        <v>27062.305877713054</v>
      </c>
    </row>
    <row r="1542" spans="2:9" x14ac:dyDescent="0.55000000000000004">
      <c r="B1542" s="552" t="s">
        <v>2402</v>
      </c>
      <c r="C1542" s="1308">
        <v>331.35925196850394</v>
      </c>
      <c r="D1542" s="1308">
        <v>548.46622152395912</v>
      </c>
      <c r="E1542" s="1308">
        <v>1400.7619828125</v>
      </c>
      <c r="F1542" s="1308">
        <v>1809.2267063964844</v>
      </c>
      <c r="G1542" s="1308">
        <v>2080.6107123559573</v>
      </c>
      <c r="H1542" s="1308">
        <v>2330.2839978386719</v>
      </c>
      <c r="I1542" s="1308">
        <v>2540.0095576441527</v>
      </c>
    </row>
    <row r="1544" spans="2:9" x14ac:dyDescent="0.55000000000000004">
      <c r="B1544" s="552" t="s">
        <v>2403</v>
      </c>
    </row>
    <row r="1545" spans="2:9" x14ac:dyDescent="0.55000000000000004">
      <c r="B1545" s="552" t="str">
        <f>B1541</f>
        <v>NU</v>
      </c>
      <c r="C1545" s="611">
        <f>C1541/C$1535</f>
        <v>7.2450742112433228E-2</v>
      </c>
      <c r="D1545" s="611">
        <f t="shared" ref="D1545:I1546" si="119">D1541/D$1535</f>
        <v>9.5978398147107138E-2</v>
      </c>
      <c r="E1545" s="611">
        <f t="shared" si="119"/>
        <v>9.9369903989103739E-2</v>
      </c>
      <c r="F1545" s="611">
        <f t="shared" si="119"/>
        <v>0.11152392213202815</v>
      </c>
      <c r="G1545" s="611">
        <f t="shared" si="119"/>
        <v>0.12192742740338085</v>
      </c>
      <c r="H1545" s="611">
        <f t="shared" si="119"/>
        <v>0.12909723451960978</v>
      </c>
      <c r="I1545" s="611">
        <f t="shared" si="119"/>
        <v>0.13503048154800829</v>
      </c>
    </row>
    <row r="1546" spans="2:9" x14ac:dyDescent="0.55000000000000004">
      <c r="B1546" s="552" t="str">
        <f>B1542</f>
        <v>Pago</v>
      </c>
      <c r="C1546" s="611">
        <f>C1542/C$1535</f>
        <v>2.7123161967442799E-3</v>
      </c>
      <c r="D1546" s="611">
        <f t="shared" si="119"/>
        <v>3.8382723918504768E-3</v>
      </c>
      <c r="E1546" s="611">
        <f t="shared" si="119"/>
        <v>9.1614976612720295E-3</v>
      </c>
      <c r="F1546" s="611">
        <f t="shared" si="119"/>
        <v>1.1058884974277147E-2</v>
      </c>
      <c r="G1546" s="611">
        <f t="shared" si="119"/>
        <v>1.188571749571843E-2</v>
      </c>
      <c r="H1546" s="611">
        <f t="shared" si="119"/>
        <v>1.2441124855331439E-2</v>
      </c>
      <c r="I1546" s="611">
        <f t="shared" si="119"/>
        <v>1.2673669245150718E-2</v>
      </c>
    </row>
    <row r="1548" spans="2:9" x14ac:dyDescent="0.55000000000000004">
      <c r="B1548" s="552" t="s">
        <v>2406</v>
      </c>
    </row>
    <row r="1549" spans="2:9" x14ac:dyDescent="0.55000000000000004">
      <c r="B1549" s="552" t="str">
        <f>B1545</f>
        <v>NU</v>
      </c>
      <c r="C1549" s="580">
        <f>Drivers!G87</f>
        <v>30.4</v>
      </c>
      <c r="D1549" s="580">
        <f>Drivers!H87</f>
        <v>37.5</v>
      </c>
      <c r="E1549" s="580">
        <f>Drivers!I87</f>
        <v>44.484440894568692</v>
      </c>
      <c r="F1549" s="580">
        <f>Drivers!J87</f>
        <v>48.563769968051119</v>
      </c>
      <c r="G1549" s="580">
        <f>Drivers!K87</f>
        <v>52.602428115015975</v>
      </c>
      <c r="H1549" s="580">
        <f>Drivers!L87</f>
        <v>56.221086261980822</v>
      </c>
      <c r="I1549" s="580">
        <f>Drivers!M87</f>
        <v>59.35974440894568</v>
      </c>
    </row>
    <row r="1550" spans="2:9" x14ac:dyDescent="0.55000000000000004">
      <c r="B1550" s="552" t="str">
        <f>B1546</f>
        <v>Pago</v>
      </c>
      <c r="C1550" s="580">
        <f>C1542/C1554</f>
        <v>1.1380754699940629</v>
      </c>
      <c r="D1550" s="580">
        <f t="shared" ref="D1550:I1550" si="120">D1542/D1554</f>
        <v>1.4996626060979035</v>
      </c>
      <c r="E1550" s="580">
        <f t="shared" si="120"/>
        <v>4.1012830329721721</v>
      </c>
      <c r="F1550" s="580">
        <f t="shared" si="120"/>
        <v>4.8156587010823539</v>
      </c>
      <c r="G1550" s="580">
        <f t="shared" si="120"/>
        <v>5.1277847280043591</v>
      </c>
      <c r="H1550" s="580">
        <f t="shared" si="120"/>
        <v>5.4180366937404534</v>
      </c>
      <c r="I1550" s="580">
        <f t="shared" si="120"/>
        <v>5.5713773548840519</v>
      </c>
    </row>
    <row r="1552" spans="2:9" x14ac:dyDescent="0.55000000000000004">
      <c r="B1552" s="552" t="s">
        <v>2407</v>
      </c>
    </row>
    <row r="1553" spans="2:9" x14ac:dyDescent="0.55000000000000004">
      <c r="B1553" s="552" t="str">
        <f>B1549</f>
        <v>NU</v>
      </c>
      <c r="C1553" s="567">
        <f t="shared" ref="C1553:I1553" si="121">C1541/C1549</f>
        <v>291.15753805873044</v>
      </c>
      <c r="D1553" s="567">
        <f t="shared" si="121"/>
        <v>365.72641025641019</v>
      </c>
      <c r="E1553" s="567">
        <f t="shared" si="121"/>
        <v>341.54238357877421</v>
      </c>
      <c r="F1553" s="567">
        <f t="shared" si="121"/>
        <v>375.6966219366517</v>
      </c>
      <c r="G1553" s="567">
        <f t="shared" si="121"/>
        <v>405.75235169158384</v>
      </c>
      <c r="H1553" s="567">
        <f t="shared" si="121"/>
        <v>430.09749279307897</v>
      </c>
      <c r="I1553" s="567">
        <f t="shared" si="121"/>
        <v>455.90334236066366</v>
      </c>
    </row>
    <row r="1554" spans="2:9" x14ac:dyDescent="0.55000000000000004">
      <c r="B1554" s="552" t="str">
        <f>B1550</f>
        <v>Pago</v>
      </c>
      <c r="C1554" s="1307">
        <f>C1553</f>
        <v>291.15753805873044</v>
      </c>
      <c r="D1554" s="1307">
        <f t="shared" ref="D1554:I1554" si="122">D1553</f>
        <v>365.72641025641019</v>
      </c>
      <c r="E1554" s="1307">
        <f t="shared" si="122"/>
        <v>341.54238357877421</v>
      </c>
      <c r="F1554" s="1307">
        <f t="shared" si="122"/>
        <v>375.6966219366517</v>
      </c>
      <c r="G1554" s="1307">
        <f t="shared" si="122"/>
        <v>405.75235169158384</v>
      </c>
      <c r="H1554" s="1307">
        <f t="shared" si="122"/>
        <v>430.09749279307897</v>
      </c>
      <c r="I1554" s="1307">
        <f t="shared" si="122"/>
        <v>455.90334236066366</v>
      </c>
    </row>
    <row r="1556" spans="2:9" x14ac:dyDescent="0.55000000000000004">
      <c r="B1556" s="613" t="s">
        <v>229</v>
      </c>
    </row>
    <row r="1558" spans="2:9" x14ac:dyDescent="0.55000000000000004">
      <c r="B1558" s="574" t="s">
        <v>2405</v>
      </c>
      <c r="C1558" s="574">
        <f>C1534</f>
        <v>2022</v>
      </c>
      <c r="D1558" s="574">
        <f t="shared" ref="D1558:I1558" si="123">D1534</f>
        <v>2023</v>
      </c>
      <c r="E1558" s="574">
        <f t="shared" si="123"/>
        <v>2024</v>
      </c>
      <c r="F1558" s="574">
        <f t="shared" si="123"/>
        <v>2025</v>
      </c>
      <c r="G1558" s="574">
        <f t="shared" si="123"/>
        <v>2026</v>
      </c>
      <c r="H1558" s="574">
        <f t="shared" si="123"/>
        <v>2027</v>
      </c>
      <c r="I1558" s="574">
        <f t="shared" si="123"/>
        <v>2028</v>
      </c>
    </row>
    <row r="1559" spans="2:9" x14ac:dyDescent="0.55000000000000004">
      <c r="B1559" s="552" t="s">
        <v>2400</v>
      </c>
      <c r="C1559" s="568">
        <f>D1559/(1+D1560)</f>
        <v>138938.05309734514</v>
      </c>
      <c r="D1559" s="1308">
        <v>157000</v>
      </c>
      <c r="E1559" s="568">
        <f>(1+E1560)*D1559</f>
        <v>177409.99999999997</v>
      </c>
      <c r="F1559" s="568">
        <f t="shared" ref="F1559" si="124">(1+F1560)*E1559</f>
        <v>200473.29999999996</v>
      </c>
      <c r="G1559" s="568">
        <f t="shared" ref="G1559" si="125">(1+G1560)*F1559</f>
        <v>226534.82899999994</v>
      </c>
      <c r="H1559" s="568">
        <f t="shared" ref="H1559" si="126">(1+H1560)*G1559</f>
        <v>255984.3567699999</v>
      </c>
      <c r="I1559" s="568">
        <f t="shared" ref="I1559" si="127">(1+I1560)*H1559</f>
        <v>289262.32315009984</v>
      </c>
    </row>
    <row r="1560" spans="2:9" x14ac:dyDescent="0.55000000000000004">
      <c r="B1560" s="552" t="s">
        <v>2401</v>
      </c>
      <c r="D1560" s="575">
        <f>E1560</f>
        <v>0.13</v>
      </c>
      <c r="E1560" s="698">
        <v>0.13</v>
      </c>
      <c r="F1560" s="698">
        <v>0.13</v>
      </c>
      <c r="G1560" s="698">
        <v>0.13</v>
      </c>
      <c r="H1560" s="698">
        <v>0.13</v>
      </c>
      <c r="I1560" s="698">
        <v>0.13</v>
      </c>
    </row>
    <row r="1561" spans="2:9" x14ac:dyDescent="0.55000000000000004">
      <c r="B1561" s="552" t="s">
        <v>218</v>
      </c>
      <c r="C1561" s="568"/>
      <c r="D1561" s="568"/>
      <c r="E1561" s="568"/>
      <c r="F1561" s="568"/>
      <c r="G1561" s="568"/>
      <c r="H1561" s="568"/>
      <c r="I1561" s="568"/>
    </row>
    <row r="1562" spans="2:9" x14ac:dyDescent="0.55000000000000004">
      <c r="B1562" s="552" t="s">
        <v>2401</v>
      </c>
      <c r="D1562" s="575"/>
      <c r="E1562" s="698"/>
      <c r="F1562" s="698"/>
      <c r="G1562" s="698"/>
      <c r="H1562" s="698"/>
      <c r="I1562" s="698"/>
    </row>
    <row r="1564" spans="2:9" x14ac:dyDescent="0.55000000000000004">
      <c r="B1564" s="552" t="s">
        <v>345</v>
      </c>
    </row>
    <row r="1565" spans="2:9" x14ac:dyDescent="0.55000000000000004">
      <c r="B1565" s="552" t="s">
        <v>136</v>
      </c>
      <c r="C1565" s="568">
        <f>Drivers!G151/(1-Drivers!G62)</f>
        <v>398.24128686327089</v>
      </c>
      <c r="D1565" s="568">
        <f>Drivers!H151/(1-Drivers!H62)</f>
        <v>725.5</v>
      </c>
      <c r="E1565" s="568">
        <f>Drivers!I151/(1-Drivers!I62)</f>
        <v>962.81475519201763</v>
      </c>
      <c r="F1565" s="568">
        <f>Drivers!J151/(1-Drivers!J62)</f>
        <v>2165.1152401670729</v>
      </c>
      <c r="G1565" s="568">
        <f>Drivers!K151/(1-Drivers!K62)</f>
        <v>3990.2476185172295</v>
      </c>
      <c r="H1565" s="568">
        <f>Drivers!L151/(1-Drivers!L62)</f>
        <v>5800.8120187956838</v>
      </c>
      <c r="I1565" s="568">
        <f>Drivers!M151/(1-Drivers!M62)</f>
        <v>7388.9535755377674</v>
      </c>
    </row>
    <row r="1566" spans="2:9" x14ac:dyDescent="0.55000000000000004">
      <c r="B1566" s="552" t="s">
        <v>2402</v>
      </c>
      <c r="C1566" s="1308">
        <v>126.5900590551181</v>
      </c>
      <c r="D1566" s="1308">
        <v>331.92890809112333</v>
      </c>
      <c r="E1566" s="1308">
        <v>754.74846562499999</v>
      </c>
      <c r="F1566" s="1308">
        <v>896.74715012695322</v>
      </c>
      <c r="G1566" s="1308">
        <v>1031.259222645996</v>
      </c>
      <c r="H1566" s="1308">
        <v>1155.0103293635157</v>
      </c>
      <c r="I1566" s="1308">
        <v>1258.9612590062322</v>
      </c>
    </row>
    <row r="1568" spans="2:9" x14ac:dyDescent="0.55000000000000004">
      <c r="B1568" s="552" t="s">
        <v>2403</v>
      </c>
    </row>
    <row r="1569" spans="2:9" x14ac:dyDescent="0.55000000000000004">
      <c r="B1569" s="552" t="str">
        <f>B1565</f>
        <v>NU</v>
      </c>
      <c r="C1569" s="611">
        <f>C1565/C$1535</f>
        <v>3.2597740553633454E-3</v>
      </c>
      <c r="D1569" s="611">
        <f t="shared" ref="D1569:I1569" si="128">D1565/D$1535</f>
        <v>5.0771889152081097E-3</v>
      </c>
      <c r="E1569" s="611">
        <f t="shared" si="128"/>
        <v>6.297161999085029E-3</v>
      </c>
      <c r="F1569" s="611">
        <f t="shared" si="128"/>
        <v>1.3234251026921844E-2</v>
      </c>
      <c r="G1569" s="611">
        <f t="shared" si="128"/>
        <v>2.2794728321837598E-2</v>
      </c>
      <c r="H1569" s="611">
        <f t="shared" si="128"/>
        <v>3.096988463855925E-2</v>
      </c>
      <c r="I1569" s="611">
        <f t="shared" si="128"/>
        <v>3.6868032012838128E-2</v>
      </c>
    </row>
    <row r="1570" spans="2:9" x14ac:dyDescent="0.55000000000000004">
      <c r="B1570" s="552" t="str">
        <f>B1566</f>
        <v>Pago</v>
      </c>
      <c r="C1570" s="611">
        <f>C1566/C$1535</f>
        <v>1.0361933927670978E-3</v>
      </c>
      <c r="D1570" s="611">
        <f t="shared" ref="D1570:I1570" si="129">D1566/D$1535</f>
        <v>2.3229025124705486E-3</v>
      </c>
      <c r="E1570" s="611">
        <f t="shared" si="129"/>
        <v>4.9363320731968018E-3</v>
      </c>
      <c r="F1570" s="611">
        <f t="shared" si="129"/>
        <v>5.4813603785547607E-3</v>
      </c>
      <c r="G1570" s="611">
        <f t="shared" si="129"/>
        <v>5.8911817152691344E-3</v>
      </c>
      <c r="H1570" s="611">
        <f t="shared" si="129"/>
        <v>6.1664705804686266E-3</v>
      </c>
      <c r="I1570" s="611">
        <f t="shared" si="129"/>
        <v>6.2817317128138345E-3</v>
      </c>
    </row>
    <row r="1572" spans="2:9" x14ac:dyDescent="0.55000000000000004">
      <c r="B1572" s="552" t="s">
        <v>2406</v>
      </c>
    </row>
    <row r="1573" spans="2:9" x14ac:dyDescent="0.55000000000000004">
      <c r="B1573" s="552" t="str">
        <f>B1569</f>
        <v>NU</v>
      </c>
      <c r="C1573" s="580">
        <f>Drivers!G140</f>
        <v>2.3626809651474536</v>
      </c>
      <c r="D1573" s="580">
        <f>Drivers!H140</f>
        <v>3.887539936102236</v>
      </c>
      <c r="E1573" s="580">
        <f>Drivers!I140</f>
        <v>4.6597444089456861</v>
      </c>
      <c r="F1573" s="580">
        <f>Drivers!J140</f>
        <v>8.732108626198082</v>
      </c>
      <c r="G1573" s="580">
        <f>Drivers!K140</f>
        <v>13.410862619808306</v>
      </c>
      <c r="H1573" s="580">
        <f>Drivers!L140</f>
        <v>17.723642172523959</v>
      </c>
      <c r="I1573" s="580">
        <f>Drivers!M140</f>
        <v>20.52364217252396</v>
      </c>
    </row>
    <row r="1574" spans="2:9" x14ac:dyDescent="0.55000000000000004">
      <c r="B1574" s="552" t="str">
        <f>B1570</f>
        <v>Pago</v>
      </c>
      <c r="C1574" s="580">
        <f>C1566/C1578</f>
        <v>0.75103193157646531</v>
      </c>
      <c r="D1574" s="580">
        <f t="shared" ref="D1574:I1574" si="130">D1566/D1578</f>
        <v>1.7786173482440393</v>
      </c>
      <c r="E1574" s="580">
        <f t="shared" si="130"/>
        <v>3.6527638612632543</v>
      </c>
      <c r="F1574" s="580">
        <f t="shared" si="130"/>
        <v>3.6166636213497201</v>
      </c>
      <c r="G1574" s="580">
        <f t="shared" si="130"/>
        <v>3.4659693037934813</v>
      </c>
      <c r="H1574" s="580">
        <f t="shared" si="130"/>
        <v>3.5289869274988179</v>
      </c>
      <c r="I1574" s="580">
        <f t="shared" si="130"/>
        <v>3.4969052281579192</v>
      </c>
    </row>
    <row r="1576" spans="2:9" x14ac:dyDescent="0.55000000000000004">
      <c r="B1576" s="552" t="s">
        <v>2407</v>
      </c>
    </row>
    <row r="1577" spans="2:9" x14ac:dyDescent="0.55000000000000004">
      <c r="B1577" s="552" t="str">
        <f>B1573</f>
        <v>NU</v>
      </c>
      <c r="C1577" s="567">
        <f t="shared" ref="C1577:I1577" si="131">C1565/C1573</f>
        <v>168.55482933914308</v>
      </c>
      <c r="D1577" s="567">
        <f t="shared" si="131"/>
        <v>186.62187705456938</v>
      </c>
      <c r="E1577" s="567">
        <f t="shared" si="131"/>
        <v>206.62394129249336</v>
      </c>
      <c r="F1577" s="567">
        <f t="shared" si="131"/>
        <v>247.94872955099203</v>
      </c>
      <c r="G1577" s="567">
        <f t="shared" si="131"/>
        <v>297.53847546119044</v>
      </c>
      <c r="H1577" s="567">
        <f t="shared" si="131"/>
        <v>327.29232300730945</v>
      </c>
      <c r="I1577" s="567">
        <f t="shared" si="131"/>
        <v>360.02155530804049</v>
      </c>
    </row>
    <row r="1578" spans="2:9" x14ac:dyDescent="0.55000000000000004">
      <c r="B1578" s="552" t="str">
        <f>B1574</f>
        <v>Pago</v>
      </c>
      <c r="C1578" s="1307">
        <f>C1577</f>
        <v>168.55482933914308</v>
      </c>
      <c r="D1578" s="1307">
        <f t="shared" ref="D1578" si="132">D1577</f>
        <v>186.62187705456938</v>
      </c>
      <c r="E1578" s="1307">
        <f t="shared" ref="E1578" si="133">E1577</f>
        <v>206.62394129249336</v>
      </c>
      <c r="F1578" s="1307">
        <f t="shared" ref="F1578" si="134">F1577</f>
        <v>247.94872955099203</v>
      </c>
      <c r="G1578" s="1307">
        <f t="shared" ref="G1578" si="135">G1577</f>
        <v>297.53847546119044</v>
      </c>
      <c r="H1578" s="1307">
        <f t="shared" ref="H1578" si="136">H1577</f>
        <v>327.29232300730945</v>
      </c>
      <c r="I1578" s="1307">
        <f t="shared" ref="I1578" si="137">I1577</f>
        <v>360.02155530804049</v>
      </c>
    </row>
  </sheetData>
  <autoFilter ref="B749:E755" xr:uid="{98441FDF-0B69-461A-B89F-FFD7CFAFF000}">
    <sortState xmlns:xlrd2="http://schemas.microsoft.com/office/spreadsheetml/2017/richdata2" ref="B750:E755">
      <sortCondition ref="C749:C755"/>
    </sortState>
  </autoFilter>
  <mergeCells count="23">
    <mergeCell ref="H620:K620"/>
    <mergeCell ref="R620:U620"/>
    <mergeCell ref="C699:F699"/>
    <mergeCell ref="H699:K699"/>
    <mergeCell ref="C687:G687"/>
    <mergeCell ref="H687:L687"/>
    <mergeCell ref="M687:Q687"/>
    <mergeCell ref="C1242:E1242"/>
    <mergeCell ref="K1242:M1242"/>
    <mergeCell ref="H550:K550"/>
    <mergeCell ref="R582:U582"/>
    <mergeCell ref="C1266:G1266"/>
    <mergeCell ref="H1266:K1266"/>
    <mergeCell ref="H675:L675"/>
    <mergeCell ref="M675:Q675"/>
    <mergeCell ref="C662:G662"/>
    <mergeCell ref="H662:L662"/>
    <mergeCell ref="M662:Q662"/>
    <mergeCell ref="C675:G675"/>
    <mergeCell ref="C582:G582"/>
    <mergeCell ref="H582:K582"/>
    <mergeCell ref="C550:G550"/>
    <mergeCell ref="C620:G620"/>
  </mergeCells>
  <phoneticPr fontId="94"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B811-BA39-4DD5-A4EA-6762EA42ED43}">
  <dimension ref="A1:AW137"/>
  <sheetViews>
    <sheetView showGridLines="0" zoomScale="71" zoomScaleNormal="80" workbookViewId="0">
      <pane xSplit="1" ySplit="2" topLeftCell="B3" activePane="bottomRight" state="frozen"/>
      <selection activeCell="B19" sqref="B19"/>
      <selection pane="topRight" activeCell="B19" sqref="B19"/>
      <selection pane="bottomLeft" activeCell="B19" sqref="B19"/>
      <selection pane="bottomRight" activeCell="H4" sqref="H4"/>
    </sheetView>
  </sheetViews>
  <sheetFormatPr defaultColWidth="8.69921875" defaultRowHeight="15.6" x14ac:dyDescent="0.6"/>
  <cols>
    <col min="1" max="1" width="51.19921875" style="17" customWidth="1"/>
    <col min="2" max="5" width="8.59765625" style="17" customWidth="1"/>
    <col min="6" max="14" width="8.59765625" style="43" customWidth="1"/>
    <col min="15" max="18" width="8.69921875" style="43"/>
    <col min="50" max="16384" width="8.69921875" style="43"/>
  </cols>
  <sheetData>
    <row r="1" spans="1:18" s="19" customFormat="1" x14ac:dyDescent="0.6">
      <c r="A1" s="879" t="s">
        <v>1185</v>
      </c>
      <c r="B1" s="17">
        <v>2018</v>
      </c>
      <c r="C1" s="17">
        <v>2019</v>
      </c>
      <c r="D1" s="17">
        <v>2020</v>
      </c>
      <c r="E1" s="17">
        <v>2021</v>
      </c>
      <c r="F1" s="17">
        <v>2022</v>
      </c>
      <c r="G1" s="17">
        <v>2023</v>
      </c>
      <c r="H1" s="18">
        <v>2024</v>
      </c>
      <c r="I1" s="18">
        <v>2025</v>
      </c>
      <c r="J1" s="18">
        <v>2026</v>
      </c>
      <c r="K1" s="18">
        <v>2027</v>
      </c>
      <c r="L1" s="18">
        <v>2028</v>
      </c>
      <c r="M1" s="18">
        <v>2029</v>
      </c>
      <c r="N1" s="18">
        <v>2030</v>
      </c>
      <c r="O1"/>
      <c r="P1"/>
      <c r="Q1"/>
      <c r="R1"/>
    </row>
    <row r="2" spans="1:18" customFormat="1" x14ac:dyDescent="0.6">
      <c r="A2" s="20" t="s">
        <v>136</v>
      </c>
      <c r="B2" s="21" t="s">
        <v>7</v>
      </c>
      <c r="C2" s="21" t="s">
        <v>7</v>
      </c>
      <c r="D2" s="21" t="s">
        <v>7</v>
      </c>
      <c r="E2" s="21" t="s">
        <v>7</v>
      </c>
      <c r="F2" s="21" t="s">
        <v>7</v>
      </c>
      <c r="G2" s="21" t="s">
        <v>7</v>
      </c>
      <c r="H2" s="21" t="s">
        <v>8</v>
      </c>
      <c r="I2" s="21" t="s">
        <v>8</v>
      </c>
      <c r="J2" s="21" t="s">
        <v>8</v>
      </c>
      <c r="K2" s="21" t="s">
        <v>8</v>
      </c>
      <c r="L2" s="21" t="s">
        <v>8</v>
      </c>
      <c r="M2" s="21" t="s">
        <v>8</v>
      </c>
      <c r="N2" s="21" t="s">
        <v>8</v>
      </c>
    </row>
    <row r="3" spans="1:18" customFormat="1" x14ac:dyDescent="0.6">
      <c r="A3" s="20" t="s">
        <v>9</v>
      </c>
    </row>
    <row r="4" spans="1:18" s="88" customFormat="1" ht="15.9" thickBot="1" x14ac:dyDescent="0.65">
      <c r="A4" s="87" t="s">
        <v>133</v>
      </c>
      <c r="B4" s="109">
        <f>B7+B31</f>
        <v>318.89999999999998</v>
      </c>
      <c r="C4" s="109">
        <f>C7+C31</f>
        <v>612.1</v>
      </c>
      <c r="D4" s="109">
        <f>D7+D31</f>
        <v>737.1</v>
      </c>
      <c r="E4" s="109">
        <f t="shared" ref="E4:N4" si="0">E7+E31</f>
        <v>1696.9561700000002</v>
      </c>
      <c r="F4" s="109">
        <f t="shared" si="0"/>
        <v>4790.1710000000003</v>
      </c>
      <c r="G4" s="109">
        <f t="shared" si="0"/>
        <v>8028</v>
      </c>
      <c r="H4" s="109">
        <f t="shared" si="0"/>
        <v>11957.660811218131</v>
      </c>
      <c r="I4" s="109">
        <f t="shared" si="0"/>
        <v>15243.865667997801</v>
      </c>
      <c r="J4" s="109">
        <f t="shared" si="0"/>
        <v>18710.883180114535</v>
      </c>
      <c r="K4" s="109">
        <f t="shared" si="0"/>
        <v>21834.967731681201</v>
      </c>
      <c r="L4" s="109">
        <f t="shared" si="0"/>
        <v>24595.326169498534</v>
      </c>
      <c r="M4" s="109">
        <f t="shared" si="0"/>
        <v>27227.728042218161</v>
      </c>
      <c r="N4" s="109">
        <f t="shared" si="0"/>
        <v>30428.892243091002</v>
      </c>
    </row>
    <row r="5" spans="1:18" s="26" customFormat="1" x14ac:dyDescent="0.6">
      <c r="A5" s="20" t="s">
        <v>386</v>
      </c>
      <c r="B5" s="126"/>
      <c r="C5" s="395">
        <f>C4/B4-1</f>
        <v>0.91941047350266558</v>
      </c>
      <c r="D5" s="395">
        <f>D4/C4-1</f>
        <v>0.20421499754942007</v>
      </c>
      <c r="E5" s="395">
        <f t="shared" ref="E5:N5" si="1">E4/D4-1</f>
        <v>1.3022061728395062</v>
      </c>
      <c r="F5" s="395">
        <f t="shared" si="1"/>
        <v>1.8228018405448858</v>
      </c>
      <c r="G5" s="395">
        <f t="shared" si="1"/>
        <v>0.67593181955299708</v>
      </c>
      <c r="H5" s="395">
        <f>H4/G4-1</f>
        <v>0.48949437110340455</v>
      </c>
      <c r="I5" s="395">
        <f t="shared" si="1"/>
        <v>0.27482004287132011</v>
      </c>
      <c r="J5" s="395">
        <f t="shared" si="1"/>
        <v>0.22743689741344375</v>
      </c>
      <c r="K5" s="395">
        <f t="shared" si="1"/>
        <v>0.16696617265436542</v>
      </c>
      <c r="L5" s="395">
        <f t="shared" si="1"/>
        <v>0.12641916726133839</v>
      </c>
      <c r="M5" s="395">
        <f t="shared" si="1"/>
        <v>0.10702854089343838</v>
      </c>
      <c r="N5" s="395">
        <f t="shared" si="1"/>
        <v>0.11757000789449834</v>
      </c>
    </row>
    <row r="6" spans="1:18" s="26" customFormat="1" x14ac:dyDescent="0.6">
      <c r="A6" s="20"/>
      <c r="B6" s="126"/>
      <c r="C6" s="395"/>
      <c r="D6" s="395"/>
      <c r="E6" s="395"/>
      <c r="F6" s="395"/>
      <c r="G6" s="395"/>
      <c r="H6" s="395"/>
      <c r="I6" s="395"/>
      <c r="J6" s="395"/>
      <c r="K6" s="395"/>
      <c r="L6" s="395"/>
      <c r="M6" s="395"/>
      <c r="N6" s="395"/>
    </row>
    <row r="7" spans="1:18" s="32" customFormat="1" ht="14.4" x14ac:dyDescent="0.55000000000000004">
      <c r="A7" s="168" t="s">
        <v>87</v>
      </c>
      <c r="B7" s="95">
        <f>B8+B16+B22+B24</f>
        <v>161.6</v>
      </c>
      <c r="C7" s="95">
        <f>C8+C16+C22+C24</f>
        <v>337.9</v>
      </c>
      <c r="D7" s="95">
        <f>D8+D16+D22+D24</f>
        <v>382.9</v>
      </c>
      <c r="E7" s="95">
        <f>E8+E16+E22+E24</f>
        <v>1045.6791700000001</v>
      </c>
      <c r="F7" s="95">
        <f>F8+F16+F22+F24</f>
        <v>3555.1709999999998</v>
      </c>
      <c r="G7" s="95">
        <f>G8+G16+G19+G22+G24</f>
        <v>6439</v>
      </c>
      <c r="H7" s="95">
        <f t="shared" ref="H7:N7" si="2">H8+H16+H19+H22+H24</f>
        <v>10103.201107666722</v>
      </c>
      <c r="I7" s="95">
        <f t="shared" si="2"/>
        <v>12802.34748502066</v>
      </c>
      <c r="J7" s="95">
        <f t="shared" si="2"/>
        <v>15676.722571018654</v>
      </c>
      <c r="K7" s="95">
        <f t="shared" si="2"/>
        <v>18149.875487622608</v>
      </c>
      <c r="L7" s="95">
        <f t="shared" si="2"/>
        <v>20452.62858847492</v>
      </c>
      <c r="M7" s="95">
        <f t="shared" si="2"/>
        <v>22658.005607778337</v>
      </c>
      <c r="N7" s="95">
        <f t="shared" si="2"/>
        <v>25424.743042915678</v>
      </c>
    </row>
    <row r="8" spans="1:18" s="32" customFormat="1" ht="14.4" x14ac:dyDescent="0.55000000000000004">
      <c r="A8" s="106" t="s">
        <v>158</v>
      </c>
      <c r="B8" s="151">
        <v>128.5</v>
      </c>
      <c r="C8" s="151">
        <v>214.6</v>
      </c>
      <c r="D8" s="151">
        <v>217.5</v>
      </c>
      <c r="E8" s="151">
        <v>357</v>
      </c>
      <c r="F8" s="151">
        <v>1014.875</v>
      </c>
      <c r="G8" s="151">
        <v>2521</v>
      </c>
      <c r="H8" s="44">
        <f>H10*H9</f>
        <v>4076.2347103697962</v>
      </c>
      <c r="I8" s="44">
        <f t="shared" ref="I8:N8" si="3">I10*I9</f>
        <v>4788.0902478377484</v>
      </c>
      <c r="J8" s="44">
        <f t="shared" si="3"/>
        <v>5778.8414763911251</v>
      </c>
      <c r="K8" s="44">
        <f t="shared" si="3"/>
        <v>6457.2221083263457</v>
      </c>
      <c r="L8" s="44">
        <f t="shared" si="3"/>
        <v>6897.904271192464</v>
      </c>
      <c r="M8" s="44">
        <f t="shared" si="3"/>
        <v>7504.192068937049</v>
      </c>
      <c r="N8" s="44">
        <f t="shared" si="3"/>
        <v>8454.4652061876968</v>
      </c>
    </row>
    <row r="9" spans="1:18" s="32" customFormat="1" ht="12.9" x14ac:dyDescent="0.5">
      <c r="A9" s="92" t="s">
        <v>2409</v>
      </c>
      <c r="B9" s="30"/>
      <c r="C9" s="30"/>
      <c r="D9" s="30"/>
      <c r="E9" s="30"/>
      <c r="F9" s="44">
        <f>AVERAGE(Drivers!F52:G52)</f>
        <v>7227.5895</v>
      </c>
      <c r="G9" s="44">
        <f>AVERAGE(Drivers!G52:H52)</f>
        <v>11897</v>
      </c>
      <c r="H9" s="44">
        <f>AVERAGE(Drivers!H52:I52)</f>
        <v>15382.017774980362</v>
      </c>
      <c r="I9" s="44">
        <f>AVERAGE(Drivers!I52:J52)</f>
        <v>18415.731722452878</v>
      </c>
      <c r="J9" s="44">
        <f>AVERAGE(Drivers!J52:K52)</f>
        <v>23115.3659055645</v>
      </c>
      <c r="K9" s="44">
        <f>AVERAGE(Drivers!K52:L52)</f>
        <v>28074.878731853674</v>
      </c>
      <c r="L9" s="44">
        <f>AVERAGE(Drivers!L52:M52)</f>
        <v>32847.163196154594</v>
      </c>
      <c r="M9" s="44">
        <f>AVERAGE(Drivers!M52:N52)</f>
        <v>37520.960344685242</v>
      </c>
      <c r="N9" s="44">
        <f>AVERAGE(Drivers!N52:O52)</f>
        <v>42272.326030938486</v>
      </c>
    </row>
    <row r="10" spans="1:18" s="32" customFormat="1" ht="12.9" x14ac:dyDescent="0.5">
      <c r="A10" s="92" t="s">
        <v>233</v>
      </c>
      <c r="B10" s="38">
        <f>B8/Master!C$193</f>
        <v>7.9135361497721393E-2</v>
      </c>
      <c r="C10" s="219">
        <f>C8/AVERAGE(Master!C193,Master!D193)</f>
        <v>9.7317642790739858E-2</v>
      </c>
      <c r="D10" s="219">
        <f>D8/AVERAGE(Master!D193,Master!E193)</f>
        <v>7.6377427397548908E-2</v>
      </c>
      <c r="E10" s="219">
        <f>E8/AVERAGE(Master!E193,Master!F193)</f>
        <v>9.2855099227508009E-2</v>
      </c>
      <c r="F10" s="219">
        <f>F8/F9</f>
        <v>0.14041680147994015</v>
      </c>
      <c r="G10" s="219">
        <f>G8/G9</f>
        <v>0.21190216020845593</v>
      </c>
      <c r="H10" s="185">
        <v>0.26500000000000001</v>
      </c>
      <c r="I10" s="185">
        <v>0.26</v>
      </c>
      <c r="J10" s="185">
        <v>0.25</v>
      </c>
      <c r="K10" s="185">
        <v>0.23</v>
      </c>
      <c r="L10" s="185">
        <v>0.21</v>
      </c>
      <c r="M10" s="185">
        <v>0.2</v>
      </c>
      <c r="N10" s="185">
        <v>0.2</v>
      </c>
    </row>
    <row r="11" spans="1:18" s="32" customFormat="1" ht="12.9" x14ac:dyDescent="0.5">
      <c r="A11" s="92"/>
      <c r="B11" s="38"/>
      <c r="C11" s="219"/>
      <c r="D11" s="219"/>
      <c r="E11" s="219"/>
      <c r="F11" s="219"/>
      <c r="G11" s="219"/>
      <c r="H11" s="185"/>
      <c r="I11" s="185"/>
      <c r="J11" s="185"/>
      <c r="K11" s="185"/>
      <c r="L11" s="185"/>
      <c r="M11" s="185"/>
      <c r="N11" s="185"/>
    </row>
    <row r="12" spans="1:18" s="32" customFormat="1" ht="12.9" x14ac:dyDescent="0.5">
      <c r="A12" s="92" t="s">
        <v>2412</v>
      </c>
      <c r="B12" s="38"/>
      <c r="C12" s="219"/>
      <c r="D12" s="219"/>
      <c r="E12" s="219"/>
      <c r="F12" s="1310">
        <v>0.18</v>
      </c>
      <c r="G12" s="1310">
        <v>0.25</v>
      </c>
      <c r="H12" s="1310">
        <v>0.34</v>
      </c>
      <c r="I12" s="1310">
        <v>0.35</v>
      </c>
      <c r="J12" s="1310">
        <v>0.35</v>
      </c>
      <c r="K12" s="1310">
        <v>0.35</v>
      </c>
      <c r="L12" s="1310">
        <v>0.35</v>
      </c>
      <c r="M12" s="1310">
        <v>0.35</v>
      </c>
      <c r="N12" s="1310">
        <v>0.35</v>
      </c>
    </row>
    <row r="13" spans="1:18" s="32" customFormat="1" ht="12.9" x14ac:dyDescent="0.5">
      <c r="A13" s="92" t="s">
        <v>2413</v>
      </c>
      <c r="B13" s="38"/>
      <c r="C13" s="219"/>
      <c r="D13" s="219"/>
      <c r="E13" s="219"/>
      <c r="F13" s="44">
        <f>F12*F9</f>
        <v>1300.9661100000001</v>
      </c>
      <c r="G13" s="44">
        <f t="shared" ref="G13:N13" si="4">G12*G9</f>
        <v>2974.25</v>
      </c>
      <c r="H13" s="44">
        <f t="shared" si="4"/>
        <v>5229.886043493324</v>
      </c>
      <c r="I13" s="44">
        <f t="shared" si="4"/>
        <v>6445.5061028585069</v>
      </c>
      <c r="J13" s="44">
        <f t="shared" si="4"/>
        <v>8090.3780669475746</v>
      </c>
      <c r="K13" s="44">
        <f t="shared" si="4"/>
        <v>9826.2075561487854</v>
      </c>
      <c r="L13" s="44">
        <f t="shared" si="4"/>
        <v>11496.507118654106</v>
      </c>
      <c r="M13" s="44">
        <f t="shared" si="4"/>
        <v>13132.336120639833</v>
      </c>
      <c r="N13" s="44">
        <f t="shared" si="4"/>
        <v>14795.314110828469</v>
      </c>
    </row>
    <row r="14" spans="1:18" s="32" customFormat="1" ht="12.9" x14ac:dyDescent="0.5">
      <c r="A14" s="92" t="s">
        <v>233</v>
      </c>
      <c r="B14" s="38"/>
      <c r="C14" s="219"/>
      <c r="D14" s="219"/>
      <c r="E14" s="219"/>
      <c r="F14" s="219">
        <f>F8/F13</f>
        <v>0.78009334155522314</v>
      </c>
      <c r="G14" s="219">
        <f>G8/G13</f>
        <v>0.8476086408338237</v>
      </c>
      <c r="H14" s="219">
        <f t="shared" ref="H14:N14" si="5">H8/H13</f>
        <v>0.77941176470588225</v>
      </c>
      <c r="I14" s="219">
        <f t="shared" si="5"/>
        <v>0.74285714285714288</v>
      </c>
      <c r="J14" s="219">
        <f t="shared" si="5"/>
        <v>0.7142857142857143</v>
      </c>
      <c r="K14" s="219">
        <f t="shared" si="5"/>
        <v>0.65714285714285725</v>
      </c>
      <c r="L14" s="219">
        <f t="shared" si="5"/>
        <v>0.6</v>
      </c>
      <c r="M14" s="219">
        <f t="shared" si="5"/>
        <v>0.57142857142857151</v>
      </c>
      <c r="N14" s="219">
        <f t="shared" si="5"/>
        <v>0.5714285714285714</v>
      </c>
    </row>
    <row r="15" spans="1:18" s="32" customFormat="1" ht="12.9" x14ac:dyDescent="0.5">
      <c r="A15" s="92"/>
      <c r="B15" s="38"/>
      <c r="C15" s="38"/>
      <c r="D15" s="38"/>
      <c r="E15" s="38"/>
    </row>
    <row r="16" spans="1:18" s="32" customFormat="1" ht="14.4" x14ac:dyDescent="0.55000000000000004">
      <c r="A16" s="1037" t="s">
        <v>159</v>
      </c>
      <c r="B16" s="151">
        <v>0</v>
      </c>
      <c r="C16" s="151">
        <v>8.6</v>
      </c>
      <c r="D16" s="151">
        <v>38.9</v>
      </c>
      <c r="E16" s="151">
        <v>292.70100000000002</v>
      </c>
      <c r="F16" s="151">
        <v>932.19600000000003</v>
      </c>
      <c r="G16" s="151">
        <v>1650</v>
      </c>
      <c r="H16" s="44">
        <f>H17*AVERAGE(Drivers!H50:I50)</f>
        <v>3260.3364835642315</v>
      </c>
      <c r="I16" s="44">
        <f>I17*AVERAGE(Drivers!I50:J50)</f>
        <v>4750.3494163168734</v>
      </c>
      <c r="J16" s="44">
        <f>J17*AVERAGE(Drivers!J50:K50)</f>
        <v>5979.6318237532596</v>
      </c>
      <c r="K16" s="44">
        <f>K17*AVERAGE(Drivers!K50:L50)</f>
        <v>7064.8046311276285</v>
      </c>
      <c r="L16" s="44">
        <f>L17*AVERAGE(Drivers!L50:M50)</f>
        <v>8163.3859944760079</v>
      </c>
      <c r="M16" s="44">
        <f>M17*AVERAGE(Drivers!M50:N50)</f>
        <v>9093.0876075237611</v>
      </c>
      <c r="N16" s="44">
        <f>N17*AVERAGE(Drivers!N50:O50)</f>
        <v>10329.088650879428</v>
      </c>
    </row>
    <row r="17" spans="1:16" s="32" customFormat="1" ht="12.9" x14ac:dyDescent="0.5">
      <c r="A17" s="92" t="s">
        <v>233</v>
      </c>
      <c r="B17" s="45"/>
      <c r="C17" s="150">
        <f>C16/AVERAGE(Master!C194,Master!D194)</f>
        <v>0.29655172413793102</v>
      </c>
      <c r="D17" s="150">
        <f>D16/AVERAGE(Master!D194,Master!E194)</f>
        <v>0.29885653028408077</v>
      </c>
      <c r="E17" s="150">
        <f>E16/AVERAGE(Master!E194,Master!F194)</f>
        <v>0.41900156849154663</v>
      </c>
      <c r="F17" s="150">
        <f>F16/AVERAGE(Drivers!F50:G50)</f>
        <v>0.55399712243555344</v>
      </c>
      <c r="G17" s="150">
        <f>G16/AVERAGE(Drivers!G50:H50)</f>
        <v>0.58027079303675044</v>
      </c>
      <c r="H17" s="231">
        <v>0.67</v>
      </c>
      <c r="I17" s="231">
        <v>0.66</v>
      </c>
      <c r="J17" s="231">
        <v>0.62</v>
      </c>
      <c r="K17" s="231">
        <v>0.56999999999999995</v>
      </c>
      <c r="L17" s="231">
        <v>0.53</v>
      </c>
      <c r="M17" s="231">
        <v>0.5</v>
      </c>
      <c r="N17" s="231">
        <v>0.5</v>
      </c>
    </row>
    <row r="18" spans="1:16" s="32" customFormat="1" ht="14.4" x14ac:dyDescent="0.55000000000000004">
      <c r="A18" s="142"/>
      <c r="B18" s="38"/>
      <c r="C18" s="38"/>
      <c r="D18" s="38"/>
      <c r="E18" s="38"/>
      <c r="F18" s="33"/>
    </row>
    <row r="19" spans="1:16" s="32" customFormat="1" ht="14.4" x14ac:dyDescent="0.55000000000000004">
      <c r="A19" s="1037" t="s">
        <v>1319</v>
      </c>
      <c r="B19" s="38"/>
      <c r="C19" s="38"/>
      <c r="D19" s="38"/>
      <c r="E19" s="38"/>
      <c r="F19" s="33"/>
      <c r="G19" s="33"/>
      <c r="H19" s="44">
        <f>H20*AVERAGE(Drivers!H54:I54)</f>
        <v>9.6141330235259925</v>
      </c>
      <c r="I19" s="44">
        <f>I20*AVERAGE(Drivers!I54:J54)</f>
        <v>143.56385419692128</v>
      </c>
      <c r="J19" s="44">
        <f>J20*AVERAGE(Drivers!J54:K54)</f>
        <v>465.34760746442055</v>
      </c>
      <c r="K19" s="44">
        <f>K20*AVERAGE(Drivers!K54:L54)</f>
        <v>876.8522362401975</v>
      </c>
      <c r="L19" s="44">
        <f>L20*AVERAGE(Drivers!L54:M54)</f>
        <v>1235.1954814478654</v>
      </c>
      <c r="M19" s="44">
        <f>M20*AVERAGE(Drivers!M54:N54)</f>
        <v>1491.2208525413887</v>
      </c>
      <c r="N19" s="44">
        <f>N20*AVERAGE(Drivers!N54:O54)</f>
        <v>1646.6017989144648</v>
      </c>
    </row>
    <row r="20" spans="1:16" s="32" customFormat="1" ht="12.9" x14ac:dyDescent="0.5">
      <c r="A20" s="92" t="s">
        <v>233</v>
      </c>
      <c r="B20" s="38"/>
      <c r="C20" s="38"/>
      <c r="D20" s="38"/>
      <c r="E20" s="38"/>
      <c r="F20" s="33"/>
      <c r="G20" s="231"/>
      <c r="H20" s="231">
        <v>0.12</v>
      </c>
      <c r="I20" s="231">
        <v>0.2</v>
      </c>
      <c r="J20" s="231">
        <v>0.2</v>
      </c>
      <c r="K20" s="231">
        <v>0.2</v>
      </c>
      <c r="L20" s="231">
        <v>0.2</v>
      </c>
      <c r="M20" s="231">
        <v>0.2</v>
      </c>
      <c r="N20" s="231">
        <v>0.2</v>
      </c>
    </row>
    <row r="21" spans="1:16" s="32" customFormat="1" ht="14.4" x14ac:dyDescent="0.55000000000000004">
      <c r="A21" s="142"/>
      <c r="B21" s="38"/>
      <c r="C21" s="38"/>
      <c r="D21" s="38"/>
      <c r="E21" s="38"/>
      <c r="F21" s="33"/>
    </row>
    <row r="22" spans="1:16" s="32" customFormat="1" ht="14.4" x14ac:dyDescent="0.55000000000000004">
      <c r="A22" s="106" t="s">
        <v>160</v>
      </c>
      <c r="B22" s="151">
        <v>14.2</v>
      </c>
      <c r="C22" s="151">
        <v>56.8</v>
      </c>
      <c r="D22" s="151">
        <v>37.799999999999997</v>
      </c>
      <c r="E22" s="151">
        <f>66.20217+17</f>
        <v>83.202169999999995</v>
      </c>
      <c r="F22" s="151">
        <f>388.7+161</f>
        <v>549.70000000000005</v>
      </c>
      <c r="G22" s="151">
        <f>851+399</f>
        <v>1250</v>
      </c>
      <c r="H22" s="44">
        <f t="shared" ref="H22:N22" si="6">G22*(1+H23)</f>
        <v>1625</v>
      </c>
      <c r="I22" s="44">
        <f t="shared" si="6"/>
        <v>1787.5000000000002</v>
      </c>
      <c r="J22" s="44">
        <f t="shared" si="6"/>
        <v>1876.8750000000002</v>
      </c>
      <c r="K22" s="44">
        <f t="shared" si="6"/>
        <v>1970.7187500000002</v>
      </c>
      <c r="L22" s="44">
        <f t="shared" si="6"/>
        <v>2069.2546875000003</v>
      </c>
      <c r="M22" s="44">
        <f t="shared" si="6"/>
        <v>2172.7174218750006</v>
      </c>
      <c r="N22" s="44">
        <f t="shared" si="6"/>
        <v>2281.3532929687508</v>
      </c>
    </row>
    <row r="23" spans="1:16" s="32" customFormat="1" ht="12.9" x14ac:dyDescent="0.5">
      <c r="A23" s="92" t="s">
        <v>261</v>
      </c>
      <c r="B23" s="92"/>
      <c r="C23" s="158">
        <f>C22/B22-1</f>
        <v>3</v>
      </c>
      <c r="D23" s="158">
        <f>D22/C22-1</f>
        <v>-0.33450704225352113</v>
      </c>
      <c r="E23" s="158">
        <f>E22/D22-1</f>
        <v>1.2011156084656087</v>
      </c>
      <c r="F23" s="158">
        <f>F22/E22-1</f>
        <v>5.6067988370976387</v>
      </c>
      <c r="G23" s="158">
        <f>G22/F22-1</f>
        <v>1.2739676187011093</v>
      </c>
      <c r="H23" s="218">
        <v>0.3</v>
      </c>
      <c r="I23" s="218">
        <v>0.1</v>
      </c>
      <c r="J23" s="218">
        <v>0.05</v>
      </c>
      <c r="K23" s="218">
        <v>0.05</v>
      </c>
      <c r="L23" s="218">
        <v>0.05</v>
      </c>
      <c r="M23" s="218">
        <v>0.05</v>
      </c>
      <c r="N23" s="218">
        <v>0.05</v>
      </c>
      <c r="P23" s="35"/>
    </row>
    <row r="24" spans="1:16" s="32" customFormat="1" ht="14.4" x14ac:dyDescent="0.55000000000000004">
      <c r="A24" s="106" t="s">
        <v>161</v>
      </c>
      <c r="B24" s="151">
        <v>18.899999999999999</v>
      </c>
      <c r="C24" s="151">
        <v>57.9</v>
      </c>
      <c r="D24" s="151">
        <v>88.7</v>
      </c>
      <c r="E24" s="151">
        <f>309.196+3.58</f>
        <v>312.77600000000001</v>
      </c>
      <c r="F24" s="151">
        <v>1058.4000000000001</v>
      </c>
      <c r="G24" s="151">
        <v>1018</v>
      </c>
      <c r="H24" s="44">
        <f>H25*AVERAGE(Master!H190:I190)</f>
        <v>1132.0157807091682</v>
      </c>
      <c r="I24" s="44">
        <f>I25*AVERAGE(Master!I190:J190)</f>
        <v>1332.8439666691154</v>
      </c>
      <c r="J24" s="44">
        <f>J25*AVERAGE(Master!J190:K190)</f>
        <v>1576.0266634098482</v>
      </c>
      <c r="K24" s="44">
        <f>K25*AVERAGE(Master!K190:L190)</f>
        <v>1780.2777619284382</v>
      </c>
      <c r="L24" s="44">
        <f>L25*AVERAGE(Master!L190:M190)</f>
        <v>2086.8881538585842</v>
      </c>
      <c r="M24" s="44">
        <f>M25*AVERAGE(Master!M190:N190)</f>
        <v>2396.7876569011396</v>
      </c>
      <c r="N24" s="44">
        <f>N25*AVERAGE(Master!N190:O190)</f>
        <v>2713.2340939653377</v>
      </c>
    </row>
    <row r="25" spans="1:16" s="32" customFormat="1" ht="12.9" x14ac:dyDescent="0.5">
      <c r="A25" s="92" t="s">
        <v>796</v>
      </c>
      <c r="B25" s="92"/>
      <c r="C25" s="176">
        <f>C24/AVERAGE(Master!C186,Master!D186)</f>
        <v>4.124078492823819E-2</v>
      </c>
      <c r="D25" s="176">
        <f>D24/AVERAGE(Master!D186,Master!E186)</f>
        <v>2.7187739463601535E-2</v>
      </c>
      <c r="E25" s="176">
        <f>E24/(AVERAGE(Master!E186,Master!F186)+AVERAGE(Master!E190,Master!F190))</f>
        <v>4.7152077873229871E-2</v>
      </c>
      <c r="F25" s="176">
        <f>F24/(AVERAGE(Master!F186,Master!G186)+AVERAGE(Master!F190,Master!G190))</f>
        <v>0.11130396741225113</v>
      </c>
      <c r="G25" s="176">
        <f>G24/(AVERAGE(Master!G186,Master!H186)+AVERAGE(Master!G190,Master!H190))</f>
        <v>0.10597653525437492</v>
      </c>
      <c r="H25" s="159">
        <f t="shared" ref="H25:N25" si="7">H26*H27</f>
        <v>0.11709499999999999</v>
      </c>
      <c r="I25" s="159">
        <f t="shared" si="7"/>
        <v>0.11000000000000001</v>
      </c>
      <c r="J25" s="159">
        <f t="shared" si="7"/>
        <v>0.10450000000000001</v>
      </c>
      <c r="K25" s="159">
        <f t="shared" si="7"/>
        <v>9.9000000000000005E-2</v>
      </c>
      <c r="L25" s="159">
        <f t="shared" si="7"/>
        <v>9.9000000000000005E-2</v>
      </c>
      <c r="M25" s="159">
        <f t="shared" si="7"/>
        <v>9.9000000000000005E-2</v>
      </c>
      <c r="N25" s="159">
        <f t="shared" si="7"/>
        <v>9.9000000000000005E-2</v>
      </c>
      <c r="P25" s="35"/>
    </row>
    <row r="26" spans="1:16" s="32" customFormat="1" ht="14.4" x14ac:dyDescent="0.55000000000000004">
      <c r="A26" s="92" t="s">
        <v>65</v>
      </c>
      <c r="B26" s="268">
        <f>Macro!C2</f>
        <v>6.4199999999999993E-2</v>
      </c>
      <c r="C26" s="268">
        <f>Macro!D2</f>
        <v>5.96E-2</v>
      </c>
      <c r="D26" s="268">
        <f>Macro!E2</f>
        <v>2.7699999999999999E-2</v>
      </c>
      <c r="E26" s="268">
        <f>Macro!F2</f>
        <v>4.3499999999999997E-2</v>
      </c>
      <c r="F26" s="268">
        <f>Macro!G2</f>
        <v>0.127</v>
      </c>
      <c r="G26" s="268">
        <f>Macro!H2</f>
        <v>0.13312499999999999</v>
      </c>
      <c r="H26" s="268">
        <f>Macro!I2</f>
        <v>0.10644999999999999</v>
      </c>
      <c r="I26" s="268">
        <f>Macro!J2</f>
        <v>0.1</v>
      </c>
      <c r="J26" s="268">
        <f>Macro!K2</f>
        <v>9.5000000000000001E-2</v>
      </c>
      <c r="K26" s="268">
        <f>Macro!L2</f>
        <v>0.09</v>
      </c>
      <c r="L26" s="268">
        <f>Macro!M2</f>
        <v>0.09</v>
      </c>
      <c r="M26" s="268">
        <f>Macro!N2</f>
        <v>0.09</v>
      </c>
      <c r="N26" s="268">
        <f>Macro!O2</f>
        <v>0.09</v>
      </c>
      <c r="P26" s="35"/>
    </row>
    <row r="27" spans="1:16" s="32" customFormat="1" ht="14.4" x14ac:dyDescent="0.55000000000000004">
      <c r="A27" s="92" t="s">
        <v>266</v>
      </c>
      <c r="B27" s="271"/>
      <c r="C27" s="271">
        <f>C26/C25</f>
        <v>1.4451713298791018</v>
      </c>
      <c r="D27" s="271">
        <f>D26/D25</f>
        <v>1.0188416009019166</v>
      </c>
      <c r="E27" s="271">
        <f>E26/E25</f>
        <v>0.92254683063917942</v>
      </c>
      <c r="F27" s="271">
        <f>F26/F25</f>
        <v>1.141019524754346</v>
      </c>
      <c r="G27" s="271">
        <f>G26/G25</f>
        <v>1.2561743000982317</v>
      </c>
      <c r="H27" s="93">
        <v>1.1000000000000001</v>
      </c>
      <c r="I27" s="93">
        <v>1.1000000000000001</v>
      </c>
      <c r="J27" s="93">
        <v>1.1000000000000001</v>
      </c>
      <c r="K27" s="93">
        <v>1.1000000000000001</v>
      </c>
      <c r="L27" s="93">
        <v>1.1000000000000001</v>
      </c>
      <c r="M27" s="93">
        <v>1.1000000000000001</v>
      </c>
      <c r="N27" s="93">
        <v>1.1000000000000001</v>
      </c>
      <c r="P27" s="35"/>
    </row>
    <row r="28" spans="1:16" s="32" customFormat="1" ht="12.9" x14ac:dyDescent="0.5">
      <c r="A28" s="450"/>
      <c r="B28" s="92"/>
      <c r="C28" s="158"/>
      <c r="D28" s="158"/>
      <c r="E28" s="158"/>
      <c r="F28" s="159"/>
      <c r="G28" s="218"/>
      <c r="H28" s="218"/>
      <c r="I28" s="218"/>
      <c r="J28" s="218"/>
      <c r="K28" s="218"/>
      <c r="L28" s="218"/>
      <c r="M28" s="218"/>
      <c r="N28" s="218"/>
      <c r="P28" s="35"/>
    </row>
    <row r="29" spans="1:16" s="32" customFormat="1" ht="12.9" x14ac:dyDescent="0.5">
      <c r="A29" s="92"/>
      <c r="B29" s="92"/>
      <c r="C29" s="158"/>
      <c r="D29" s="158"/>
      <c r="E29" s="158"/>
      <c r="F29" s="218"/>
      <c r="G29" s="218"/>
      <c r="H29" s="218"/>
      <c r="I29" s="218"/>
      <c r="J29" s="218"/>
      <c r="K29" s="218"/>
      <c r="L29" s="218"/>
      <c r="M29" s="218"/>
      <c r="N29" s="218"/>
      <c r="P29" s="35"/>
    </row>
    <row r="30" spans="1:16" s="32" customFormat="1" ht="12.9" x14ac:dyDescent="0.5">
      <c r="A30" s="92"/>
      <c r="B30" s="92"/>
      <c r="C30" s="158"/>
      <c r="D30" s="158"/>
      <c r="E30" s="158"/>
      <c r="F30" s="218"/>
      <c r="G30" s="218"/>
      <c r="H30" s="218"/>
      <c r="I30" s="218"/>
      <c r="J30" s="218"/>
      <c r="K30" s="218"/>
      <c r="L30" s="218"/>
      <c r="M30" s="218"/>
      <c r="N30" s="218"/>
      <c r="P30" s="35"/>
    </row>
    <row r="31" spans="1:16" s="32" customFormat="1" ht="14.4" x14ac:dyDescent="0.55000000000000004">
      <c r="A31" s="168" t="s">
        <v>88</v>
      </c>
      <c r="B31" s="95">
        <f>B33+B38</f>
        <v>157.30000000000001</v>
      </c>
      <c r="C31" s="95">
        <f t="shared" ref="C31:N31" si="8">C33+C38</f>
        <v>274.20000000000005</v>
      </c>
      <c r="D31" s="95">
        <f t="shared" si="8"/>
        <v>354.20000000000005</v>
      </c>
      <c r="E31" s="95">
        <f>E33+E38</f>
        <v>651.27700000000004</v>
      </c>
      <c r="F31" s="95">
        <f>F33+F38</f>
        <v>1235</v>
      </c>
      <c r="G31" s="95">
        <f>G33+G38</f>
        <v>1589</v>
      </c>
      <c r="H31" s="95">
        <f t="shared" si="8"/>
        <v>1854.4597035514084</v>
      </c>
      <c r="I31" s="95">
        <f t="shared" si="8"/>
        <v>2441.5181829771404</v>
      </c>
      <c r="J31" s="95">
        <f t="shared" si="8"/>
        <v>3034.1606090958821</v>
      </c>
      <c r="K31" s="95">
        <f t="shared" si="8"/>
        <v>3685.0922440585928</v>
      </c>
      <c r="L31" s="95">
        <f t="shared" si="8"/>
        <v>4142.6975810236136</v>
      </c>
      <c r="M31" s="95">
        <f t="shared" si="8"/>
        <v>4569.7224344398228</v>
      </c>
      <c r="N31" s="95">
        <f t="shared" si="8"/>
        <v>5004.1492001753231</v>
      </c>
    </row>
    <row r="32" spans="1:16" s="32" customFormat="1" ht="14.4" x14ac:dyDescent="0.55000000000000004">
      <c r="A32" s="29"/>
      <c r="B32" s="44"/>
      <c r="C32" s="44"/>
      <c r="D32" s="44"/>
      <c r="E32" s="174"/>
      <c r="F32" s="44"/>
      <c r="G32" s="44"/>
      <c r="H32" s="44"/>
      <c r="I32" s="44"/>
      <c r="J32" s="44"/>
      <c r="K32" s="44"/>
      <c r="L32" s="44"/>
      <c r="M32" s="44"/>
      <c r="N32" s="44"/>
    </row>
    <row r="33" spans="1:16" s="32" customFormat="1" ht="14.4" x14ac:dyDescent="0.55000000000000004">
      <c r="A33" s="106" t="s">
        <v>162</v>
      </c>
      <c r="B33" s="151">
        <v>116.5</v>
      </c>
      <c r="C33" s="151">
        <v>203.9</v>
      </c>
      <c r="D33" s="44">
        <f>Drivers!E202</f>
        <v>254.3</v>
      </c>
      <c r="E33" s="44">
        <f>Drivers!F202</f>
        <v>471.505</v>
      </c>
      <c r="F33" s="44">
        <f>Drivers!G202</f>
        <v>917</v>
      </c>
      <c r="G33" s="44">
        <f>Drivers!H202</f>
        <v>1187</v>
      </c>
      <c r="H33" s="44">
        <f>Drivers!I202</f>
        <v>1341.8713702180751</v>
      </c>
      <c r="I33" s="44">
        <f>Drivers!J202</f>
        <v>1827.3605858548383</v>
      </c>
      <c r="J33" s="44">
        <f>Drivers!K202</f>
        <v>2313.1493213260983</v>
      </c>
      <c r="K33" s="44">
        <f>Drivers!L202</f>
        <v>2834.7552375837722</v>
      </c>
      <c r="L33" s="44">
        <f>Drivers!M202</f>
        <v>3171.564898361743</v>
      </c>
      <c r="M33" s="44">
        <f>Drivers!N202</f>
        <v>3475.2333540153622</v>
      </c>
      <c r="N33" s="44">
        <f>Drivers!O202</f>
        <v>3779.7481778954666</v>
      </c>
      <c r="P33" s="35"/>
    </row>
    <row r="34" spans="1:16" s="32" customFormat="1" ht="14.4" x14ac:dyDescent="0.55000000000000004">
      <c r="A34" s="453" t="s">
        <v>799</v>
      </c>
      <c r="B34" s="31"/>
      <c r="C34" s="31"/>
      <c r="D34" s="31"/>
      <c r="E34" s="31">
        <f>8.1%*E4</f>
        <v>137.45344977000002</v>
      </c>
      <c r="F34" s="44"/>
      <c r="G34" s="44"/>
      <c r="H34" s="44"/>
      <c r="I34" s="44"/>
      <c r="J34" s="44"/>
      <c r="K34" s="44"/>
      <c r="L34" s="44"/>
      <c r="M34" s="44"/>
      <c r="N34" s="44"/>
      <c r="P34" s="35"/>
    </row>
    <row r="35" spans="1:16" s="32" customFormat="1" ht="14.4" x14ac:dyDescent="0.55000000000000004">
      <c r="A35" s="453" t="s">
        <v>801</v>
      </c>
      <c r="B35" s="31"/>
      <c r="C35" s="31"/>
      <c r="D35" s="31">
        <f>Drivers!E228*Drivers!E215*1000</f>
        <v>159.80000000000001</v>
      </c>
      <c r="E35" s="31">
        <f>Drivers!F228*Drivers!F215*1000</f>
        <v>172.19904081632654</v>
      </c>
      <c r="F35" s="44"/>
      <c r="G35" s="44"/>
      <c r="H35" s="44"/>
      <c r="I35" s="44"/>
      <c r="J35" s="44"/>
      <c r="K35" s="44"/>
      <c r="L35" s="44"/>
      <c r="M35" s="44"/>
      <c r="N35" s="44"/>
      <c r="P35" s="35"/>
    </row>
    <row r="36" spans="1:16" s="32" customFormat="1" ht="14.4" x14ac:dyDescent="0.55000000000000004">
      <c r="A36" s="453" t="s">
        <v>800</v>
      </c>
      <c r="B36" s="31"/>
      <c r="C36" s="31"/>
      <c r="D36" s="31"/>
      <c r="E36" s="31">
        <f>E33-E35-E34</f>
        <v>161.85250941367343</v>
      </c>
      <c r="F36" s="44"/>
      <c r="G36" s="44"/>
      <c r="H36" s="44"/>
      <c r="I36" s="44"/>
      <c r="J36" s="44"/>
      <c r="K36" s="44"/>
      <c r="L36" s="44"/>
      <c r="M36" s="44"/>
      <c r="N36" s="44"/>
      <c r="P36" s="35"/>
    </row>
    <row r="37" spans="1:16" s="32" customFormat="1" ht="14.4" x14ac:dyDescent="0.55000000000000004">
      <c r="A37" s="106"/>
      <c r="B37" s="30"/>
      <c r="C37" s="30"/>
      <c r="D37" s="30"/>
      <c r="E37" s="30"/>
      <c r="F37" s="44"/>
      <c r="G37" s="44"/>
      <c r="H37" s="44"/>
      <c r="I37" s="44"/>
      <c r="J37" s="44"/>
      <c r="K37" s="44"/>
      <c r="L37" s="44"/>
      <c r="M37" s="44"/>
      <c r="N37" s="44"/>
      <c r="P37" s="35"/>
    </row>
    <row r="38" spans="1:16" s="32" customFormat="1" ht="14.4" x14ac:dyDescent="0.55000000000000004">
      <c r="A38" s="175" t="s">
        <v>286</v>
      </c>
      <c r="B38" s="44">
        <f t="shared" ref="B38:G38" si="9">SUM(B40:B44)</f>
        <v>40.800000000000004</v>
      </c>
      <c r="C38" s="44">
        <f t="shared" si="9"/>
        <v>70.300000000000011</v>
      </c>
      <c r="D38" s="44">
        <f t="shared" si="9"/>
        <v>99.9</v>
      </c>
      <c r="E38" s="44">
        <f t="shared" si="9"/>
        <v>179.77199999999999</v>
      </c>
      <c r="F38" s="44">
        <f t="shared" si="9"/>
        <v>318</v>
      </c>
      <c r="G38" s="44">
        <f t="shared" si="9"/>
        <v>402</v>
      </c>
      <c r="H38" s="44">
        <f t="shared" ref="H38:N38" si="10">SUM(H40:H44)</f>
        <v>512.58833333333337</v>
      </c>
      <c r="I38" s="44">
        <f t="shared" si="10"/>
        <v>614.15759712230215</v>
      </c>
      <c r="J38" s="44">
        <f t="shared" si="10"/>
        <v>721.01128776978408</v>
      </c>
      <c r="K38" s="44">
        <f t="shared" si="10"/>
        <v>850.33700647482033</v>
      </c>
      <c r="L38" s="44">
        <f t="shared" si="10"/>
        <v>971.13268266187072</v>
      </c>
      <c r="M38" s="44">
        <f t="shared" si="10"/>
        <v>1094.4890804244608</v>
      </c>
      <c r="N38" s="44">
        <f t="shared" si="10"/>
        <v>1224.4010222798565</v>
      </c>
      <c r="P38" s="35"/>
    </row>
    <row r="39" spans="1:16" s="32" customFormat="1" ht="12.9" x14ac:dyDescent="0.5">
      <c r="A39" s="92" t="s">
        <v>261</v>
      </c>
      <c r="B39" s="92"/>
      <c r="C39" s="158">
        <f>D38/C38-1</f>
        <v>0.42105263157894712</v>
      </c>
      <c r="D39" s="158">
        <f>E38/D38-1</f>
        <v>0.79951951951951927</v>
      </c>
      <c r="E39" s="158">
        <f>F38/E38-1</f>
        <v>0.76890728255790686</v>
      </c>
      <c r="F39" s="158">
        <f>F38/E38-1</f>
        <v>0.76890728255790686</v>
      </c>
      <c r="G39" s="158">
        <f>G38/F38-1</f>
        <v>0.26415094339622636</v>
      </c>
      <c r="H39" s="158">
        <f>Drivers!I$9</f>
        <v>0.20769230769230762</v>
      </c>
      <c r="I39" s="158">
        <f>Drivers!J$9</f>
        <v>0.13163481953290868</v>
      </c>
      <c r="J39" s="158">
        <f>Drivers!K$9</f>
        <v>9.1932457786116251E-2</v>
      </c>
      <c r="K39" s="158">
        <f>Drivers!L$9</f>
        <v>7.7319587628865927E-2</v>
      </c>
      <c r="L39" s="158">
        <f>Drivers!M$9</f>
        <v>5.5821371610845327E-2</v>
      </c>
      <c r="M39" s="158">
        <f>Drivers!N$9</f>
        <v>3.3987915407855063E-2</v>
      </c>
      <c r="N39" s="158">
        <f>Drivers!O$9</f>
        <v>2.4835646457268101E-2</v>
      </c>
      <c r="P39" s="35"/>
    </row>
    <row r="40" spans="1:16" s="32" customFormat="1" ht="14.4" x14ac:dyDescent="0.55000000000000004">
      <c r="A40" s="106" t="s">
        <v>163</v>
      </c>
      <c r="B40" s="151">
        <v>0</v>
      </c>
      <c r="C40" s="151">
        <v>0.4</v>
      </c>
      <c r="D40" s="151">
        <v>15.3</v>
      </c>
      <c r="E40" s="151">
        <v>48.378</v>
      </c>
      <c r="F40" s="151">
        <v>77</v>
      </c>
      <c r="G40" s="151">
        <v>49</v>
      </c>
      <c r="H40" s="30">
        <f>G40*1.5</f>
        <v>73.5</v>
      </c>
      <c r="I40" s="30">
        <f>H40*1.2</f>
        <v>88.2</v>
      </c>
      <c r="J40" s="30">
        <f t="shared" ref="J40:N42" si="11">I40*1.1</f>
        <v>97.02000000000001</v>
      </c>
      <c r="K40" s="30">
        <f t="shared" si="11"/>
        <v>106.72200000000002</v>
      </c>
      <c r="L40" s="30">
        <f t="shared" si="11"/>
        <v>117.39420000000004</v>
      </c>
      <c r="M40" s="30">
        <f t="shared" si="11"/>
        <v>129.13362000000006</v>
      </c>
      <c r="N40" s="30">
        <f t="shared" si="11"/>
        <v>142.04698200000007</v>
      </c>
    </row>
    <row r="41" spans="1:16" s="32" customFormat="1" ht="14.4" x14ac:dyDescent="0.55000000000000004">
      <c r="A41" s="106" t="s">
        <v>164</v>
      </c>
      <c r="B41" s="151">
        <v>12.6</v>
      </c>
      <c r="C41" s="151">
        <v>21</v>
      </c>
      <c r="D41" s="151">
        <v>23.5</v>
      </c>
      <c r="E41" s="151">
        <v>26.856999999999999</v>
      </c>
      <c r="F41" s="151">
        <v>22</v>
      </c>
      <c r="G41" s="151">
        <v>24</v>
      </c>
      <c r="H41" s="30">
        <f t="shared" ref="H41:N41" si="12">G41</f>
        <v>24</v>
      </c>
      <c r="I41" s="30">
        <f t="shared" si="12"/>
        <v>24</v>
      </c>
      <c r="J41" s="30">
        <f t="shared" si="12"/>
        <v>24</v>
      </c>
      <c r="K41" s="30">
        <f t="shared" si="12"/>
        <v>24</v>
      </c>
      <c r="L41" s="30">
        <f t="shared" si="12"/>
        <v>24</v>
      </c>
      <c r="M41" s="30">
        <f t="shared" si="12"/>
        <v>24</v>
      </c>
      <c r="N41" s="30">
        <f t="shared" si="12"/>
        <v>24</v>
      </c>
    </row>
    <row r="42" spans="1:16" s="32" customFormat="1" ht="14.4" x14ac:dyDescent="0.55000000000000004">
      <c r="A42" s="106" t="s">
        <v>165</v>
      </c>
      <c r="B42" s="151">
        <v>17.100000000000001</v>
      </c>
      <c r="C42" s="151">
        <v>27.8</v>
      </c>
      <c r="D42" s="151">
        <v>31.2</v>
      </c>
      <c r="E42" s="151">
        <v>49.951000000000001</v>
      </c>
      <c r="F42" s="151">
        <v>104</v>
      </c>
      <c r="G42" s="151">
        <v>181</v>
      </c>
      <c r="H42" s="30">
        <f>G42*1.1</f>
        <v>199.10000000000002</v>
      </c>
      <c r="I42" s="30">
        <f>H42*1.1</f>
        <v>219.01000000000005</v>
      </c>
      <c r="J42" s="30">
        <f t="shared" si="11"/>
        <v>240.91100000000006</v>
      </c>
      <c r="K42" s="30">
        <f t="shared" si="11"/>
        <v>265.0021000000001</v>
      </c>
      <c r="L42" s="30">
        <f t="shared" si="11"/>
        <v>291.50231000000014</v>
      </c>
      <c r="M42" s="30">
        <f t="shared" si="11"/>
        <v>320.65254100000016</v>
      </c>
      <c r="N42" s="30">
        <f t="shared" si="11"/>
        <v>352.71779510000022</v>
      </c>
    </row>
    <row r="43" spans="1:16" s="32" customFormat="1" ht="12.9" x14ac:dyDescent="0.5">
      <c r="A43" s="37" t="s">
        <v>166</v>
      </c>
      <c r="B43" s="151">
        <v>11.1</v>
      </c>
      <c r="C43" s="151">
        <v>21.1</v>
      </c>
      <c r="D43" s="151">
        <v>29.9</v>
      </c>
      <c r="E43" s="151">
        <v>65.766000000000005</v>
      </c>
      <c r="F43" s="151">
        <v>115</v>
      </c>
      <c r="G43" s="151">
        <v>148</v>
      </c>
      <c r="H43" s="31">
        <f>H46</f>
        <v>215.98833333333334</v>
      </c>
      <c r="I43" s="31">
        <f t="shared" ref="I43:N43" si="13">I46</f>
        <v>282.94759712230217</v>
      </c>
      <c r="J43" s="31">
        <f t="shared" si="13"/>
        <v>359.08028776978409</v>
      </c>
      <c r="K43" s="31">
        <f t="shared" si="13"/>
        <v>454.61290647482019</v>
      </c>
      <c r="L43" s="31">
        <f t="shared" si="13"/>
        <v>538.23617266187057</v>
      </c>
      <c r="M43" s="31">
        <f t="shared" si="13"/>
        <v>620.70291942446056</v>
      </c>
      <c r="N43" s="31">
        <f t="shared" si="13"/>
        <v>705.63624517985625</v>
      </c>
    </row>
    <row r="44" spans="1:16" s="32" customFormat="1" ht="12.9" x14ac:dyDescent="0.5">
      <c r="A44" s="37" t="s">
        <v>707</v>
      </c>
      <c r="B44" s="151"/>
      <c r="C44" s="151"/>
      <c r="D44" s="151"/>
      <c r="E44" s="151">
        <v>-11.18</v>
      </c>
      <c r="F44" s="151">
        <v>0</v>
      </c>
      <c r="G44" s="151">
        <v>0</v>
      </c>
      <c r="H44" s="30">
        <f t="shared" ref="H44:N44" si="14">G44</f>
        <v>0</v>
      </c>
      <c r="I44" s="30">
        <f t="shared" si="14"/>
        <v>0</v>
      </c>
      <c r="J44" s="30">
        <f t="shared" si="14"/>
        <v>0</v>
      </c>
      <c r="K44" s="30">
        <f t="shared" si="14"/>
        <v>0</v>
      </c>
      <c r="L44" s="30">
        <f t="shared" si="14"/>
        <v>0</v>
      </c>
      <c r="M44" s="30">
        <f t="shared" si="14"/>
        <v>0</v>
      </c>
      <c r="N44" s="30">
        <f t="shared" si="14"/>
        <v>0</v>
      </c>
    </row>
    <row r="46" spans="1:16" s="198" customFormat="1" ht="15.9" thickBot="1" x14ac:dyDescent="0.65">
      <c r="A46" s="1040" t="str">
        <f>A43</f>
        <v>Other fee and commission income</v>
      </c>
      <c r="B46" s="1040"/>
      <c r="C46" s="1041">
        <f>C43</f>
        <v>21.1</v>
      </c>
      <c r="D46" s="1041">
        <f>D43</f>
        <v>29.9</v>
      </c>
      <c r="E46" s="1041">
        <f>E43</f>
        <v>65.766000000000005</v>
      </c>
      <c r="F46" s="1041">
        <f>F43</f>
        <v>115</v>
      </c>
      <c r="G46" s="1041">
        <f>G43</f>
        <v>148</v>
      </c>
      <c r="H46" s="1041">
        <f t="shared" ref="H46:N46" si="15">H48+H54+H59+H64</f>
        <v>215.98833333333334</v>
      </c>
      <c r="I46" s="1041">
        <f t="shared" si="15"/>
        <v>282.94759712230217</v>
      </c>
      <c r="J46" s="1041">
        <f t="shared" si="15"/>
        <v>359.08028776978409</v>
      </c>
      <c r="K46" s="1041">
        <f t="shared" si="15"/>
        <v>454.61290647482019</v>
      </c>
      <c r="L46" s="1041">
        <f t="shared" si="15"/>
        <v>538.23617266187057</v>
      </c>
      <c r="M46" s="1041">
        <f t="shared" si="15"/>
        <v>620.70291942446056</v>
      </c>
      <c r="N46" s="1041">
        <f t="shared" si="15"/>
        <v>705.63624517985625</v>
      </c>
    </row>
    <row r="47" spans="1:16" x14ac:dyDescent="0.6">
      <c r="A47" s="238"/>
      <c r="B47" s="238"/>
      <c r="C47" s="238"/>
      <c r="D47" s="238"/>
      <c r="E47" s="238"/>
      <c r="F47" s="239"/>
      <c r="G47" s="239"/>
      <c r="H47" s="239"/>
      <c r="I47" s="239"/>
      <c r="J47" s="239"/>
      <c r="K47" s="239"/>
      <c r="L47" s="239"/>
      <c r="M47" s="239"/>
      <c r="N47" s="239"/>
    </row>
    <row r="48" spans="1:16" x14ac:dyDescent="0.6">
      <c r="A48" s="168" t="s">
        <v>316</v>
      </c>
      <c r="B48" s="238"/>
      <c r="C48" s="238"/>
      <c r="D48" s="238"/>
      <c r="E48" s="238">
        <f>E50*E51</f>
        <v>0</v>
      </c>
      <c r="F48" s="23">
        <f t="shared" ref="F48:N48" si="16">F50*F51</f>
        <v>23.948651162790693</v>
      </c>
      <c r="G48" s="23">
        <f t="shared" si="16"/>
        <v>47.343967935871746</v>
      </c>
      <c r="H48" s="23">
        <f t="shared" si="16"/>
        <v>71.435000000000002</v>
      </c>
      <c r="I48" s="23">
        <f t="shared" si="16"/>
        <v>99.697841726618719</v>
      </c>
      <c r="J48" s="23">
        <f t="shared" si="16"/>
        <v>134.71834532374098</v>
      </c>
      <c r="K48" s="23">
        <f t="shared" si="16"/>
        <v>175.92086330935248</v>
      </c>
      <c r="L48" s="23">
        <f t="shared" si="16"/>
        <v>201.21942446043167</v>
      </c>
      <c r="M48" s="23">
        <f t="shared" si="16"/>
        <v>224.06294964028777</v>
      </c>
      <c r="N48" s="23">
        <f t="shared" si="16"/>
        <v>246.02967625899282</v>
      </c>
    </row>
    <row r="49" spans="1:16" x14ac:dyDescent="0.6">
      <c r="A49" s="302" t="s">
        <v>463</v>
      </c>
      <c r="B49" s="238"/>
      <c r="C49" s="238"/>
      <c r="D49" s="238"/>
      <c r="E49" s="238">
        <f>Drivers!F325</f>
        <v>0</v>
      </c>
      <c r="F49" s="241">
        <f>Drivers!G325</f>
        <v>4.8959999999999999</v>
      </c>
      <c r="G49" s="241">
        <f>Drivers!H325</f>
        <v>9.36</v>
      </c>
      <c r="H49" s="241">
        <f>Drivers!I325</f>
        <v>13.188000000000002</v>
      </c>
      <c r="I49" s="241">
        <f>Drivers!J325</f>
        <v>17.056000000000001</v>
      </c>
      <c r="J49" s="241">
        <f>Drivers!K325</f>
        <v>20.951999999999998</v>
      </c>
      <c r="K49" s="241">
        <f>Drivers!L325</f>
        <v>25.08</v>
      </c>
      <c r="L49" s="241">
        <f>Drivers!M325</f>
        <v>26.480000000000004</v>
      </c>
      <c r="M49" s="241">
        <f>Drivers!N325</f>
        <v>27.380000000000003</v>
      </c>
      <c r="N49" s="241">
        <f>Drivers!O325</f>
        <v>28.060000000000002</v>
      </c>
    </row>
    <row r="50" spans="1:16" x14ac:dyDescent="0.6">
      <c r="A50" s="240" t="s">
        <v>324</v>
      </c>
      <c r="B50" s="238"/>
      <c r="C50" s="238"/>
      <c r="D50" s="238"/>
      <c r="E50" s="238">
        <f>Drivers!F329</f>
        <v>0</v>
      </c>
      <c r="F50" s="239">
        <f>Drivers!G329</f>
        <v>1197.4325581395346</v>
      </c>
      <c r="G50" s="239">
        <f>Drivers!H329</f>
        <v>2367.1983967935871</v>
      </c>
      <c r="H50" s="239">
        <f>Drivers!I329</f>
        <v>3174.8888888888891</v>
      </c>
      <c r="I50" s="239">
        <f>Drivers!J329</f>
        <v>3987.9136690647492</v>
      </c>
      <c r="J50" s="239">
        <f>Drivers!K329</f>
        <v>4898.8489208633091</v>
      </c>
      <c r="K50" s="239">
        <f>Drivers!L329</f>
        <v>5864.0287769784172</v>
      </c>
      <c r="L50" s="239">
        <f>Drivers!M329</f>
        <v>6191.3669064748219</v>
      </c>
      <c r="M50" s="239">
        <f>Drivers!N329</f>
        <v>6401.7985611510794</v>
      </c>
      <c r="N50" s="239">
        <f>Drivers!O329</f>
        <v>6560.7913669064756</v>
      </c>
    </row>
    <row r="51" spans="1:16" x14ac:dyDescent="0.6">
      <c r="A51" s="240" t="s">
        <v>325</v>
      </c>
      <c r="B51" s="238"/>
      <c r="C51" s="238"/>
      <c r="D51" s="238"/>
      <c r="E51" s="238">
        <v>0</v>
      </c>
      <c r="F51" s="245">
        <v>0.02</v>
      </c>
      <c r="G51" s="268">
        <f>F51+G52</f>
        <v>0.02</v>
      </c>
      <c r="H51" s="268">
        <f t="shared" ref="H51:N51" si="17">G51+H52</f>
        <v>2.2499999999999999E-2</v>
      </c>
      <c r="I51" s="268">
        <f t="shared" si="17"/>
        <v>2.4999999999999998E-2</v>
      </c>
      <c r="J51" s="268">
        <f t="shared" si="17"/>
        <v>2.7499999999999997E-2</v>
      </c>
      <c r="K51" s="268">
        <f t="shared" si="17"/>
        <v>2.9999999999999995E-2</v>
      </c>
      <c r="L51" s="268">
        <f t="shared" si="17"/>
        <v>3.2499999999999994E-2</v>
      </c>
      <c r="M51" s="268">
        <f t="shared" si="17"/>
        <v>3.4999999999999996E-2</v>
      </c>
      <c r="N51" s="268">
        <f t="shared" si="17"/>
        <v>3.7499999999999999E-2</v>
      </c>
    </row>
    <row r="52" spans="1:16" s="32" customFormat="1" ht="12.9" x14ac:dyDescent="0.5">
      <c r="A52" s="92" t="s">
        <v>437</v>
      </c>
      <c r="B52" s="92"/>
      <c r="C52" s="158"/>
      <c r="D52" s="158"/>
      <c r="E52" s="158"/>
      <c r="F52" s="159">
        <f>F51-E51</f>
        <v>0.02</v>
      </c>
      <c r="G52" s="182">
        <v>0</v>
      </c>
      <c r="H52" s="182">
        <v>2.5000000000000001E-3</v>
      </c>
      <c r="I52" s="182">
        <v>2.5000000000000001E-3</v>
      </c>
      <c r="J52" s="182">
        <v>2.5000000000000001E-3</v>
      </c>
      <c r="K52" s="182">
        <v>2.5000000000000001E-3</v>
      </c>
      <c r="L52" s="182">
        <v>2.5000000000000001E-3</v>
      </c>
      <c r="M52" s="182">
        <v>2.5000000000000001E-3</v>
      </c>
      <c r="N52" s="182">
        <v>2.5000000000000001E-3</v>
      </c>
      <c r="P52" s="35"/>
    </row>
    <row r="53" spans="1:16" x14ac:dyDescent="0.6">
      <c r="A53" s="238"/>
      <c r="B53" s="238"/>
      <c r="C53" s="238"/>
      <c r="D53" s="238"/>
      <c r="E53" s="238"/>
      <c r="F53" s="239"/>
      <c r="G53" s="239"/>
      <c r="H53" s="239"/>
      <c r="I53" s="239"/>
      <c r="J53" s="239"/>
      <c r="K53" s="239"/>
      <c r="L53" s="239"/>
      <c r="M53" s="239"/>
      <c r="N53" s="239"/>
    </row>
    <row r="54" spans="1:16" x14ac:dyDescent="0.6">
      <c r="A54" s="168" t="s">
        <v>317</v>
      </c>
      <c r="B54" s="238"/>
      <c r="C54" s="238"/>
      <c r="D54" s="238"/>
      <c r="E54" s="238">
        <f>E55*E56</f>
        <v>0</v>
      </c>
      <c r="F54" s="23">
        <f t="shared" ref="F54:N54" si="18">F55*F56</f>
        <v>25.704000000000004</v>
      </c>
      <c r="G54" s="23">
        <f t="shared" si="18"/>
        <v>43.68</v>
      </c>
      <c r="H54" s="23">
        <f t="shared" si="18"/>
        <v>65.94</v>
      </c>
      <c r="I54" s="23">
        <f t="shared" si="18"/>
        <v>89.543999999999983</v>
      </c>
      <c r="J54" s="23">
        <f t="shared" si="18"/>
        <v>113.49</v>
      </c>
      <c r="K54" s="23">
        <f t="shared" si="18"/>
        <v>149.226</v>
      </c>
      <c r="L54" s="23">
        <f t="shared" si="18"/>
        <v>188.67000000000002</v>
      </c>
      <c r="M54" s="23">
        <f t="shared" si="18"/>
        <v>229.99200000000005</v>
      </c>
      <c r="N54" s="23">
        <f t="shared" si="18"/>
        <v>274.28650000000005</v>
      </c>
    </row>
    <row r="55" spans="1:16" x14ac:dyDescent="0.6">
      <c r="A55" s="240" t="str">
        <f>A49</f>
        <v>Active clients, millions</v>
      </c>
      <c r="B55" s="238"/>
      <c r="C55" s="238"/>
      <c r="D55" s="238"/>
      <c r="E55" s="241">
        <f>Drivers!F347</f>
        <v>1.2330000000000001</v>
      </c>
      <c r="F55" s="241">
        <f>Drivers!G347</f>
        <v>4.2840000000000007</v>
      </c>
      <c r="G55" s="241">
        <f>Drivers!H347</f>
        <v>6.24</v>
      </c>
      <c r="H55" s="241">
        <f>Drivers!I347</f>
        <v>9.42</v>
      </c>
      <c r="I55" s="241">
        <f>Drivers!J347</f>
        <v>12.791999999999998</v>
      </c>
      <c r="J55" s="241">
        <f>Drivers!K347</f>
        <v>15.132</v>
      </c>
      <c r="K55" s="241">
        <f>Drivers!L347</f>
        <v>17.556000000000001</v>
      </c>
      <c r="L55" s="241">
        <f>Drivers!M347</f>
        <v>19.860000000000003</v>
      </c>
      <c r="M55" s="241">
        <f>Drivers!N347</f>
        <v>21.904000000000003</v>
      </c>
      <c r="N55" s="241">
        <f>Drivers!O347</f>
        <v>23.851000000000006</v>
      </c>
    </row>
    <row r="56" spans="1:16" x14ac:dyDescent="0.6">
      <c r="A56" s="240" t="s">
        <v>326</v>
      </c>
      <c r="B56" s="238"/>
      <c r="C56" s="238"/>
      <c r="D56" s="238"/>
      <c r="E56" s="238">
        <v>0</v>
      </c>
      <c r="F56" s="264">
        <v>6</v>
      </c>
      <c r="G56" s="265">
        <f t="shared" ref="G56:N56" si="19">F56+G57</f>
        <v>7</v>
      </c>
      <c r="H56" s="265">
        <f t="shared" si="19"/>
        <v>7</v>
      </c>
      <c r="I56" s="265">
        <f t="shared" si="19"/>
        <v>7</v>
      </c>
      <c r="J56" s="265">
        <f t="shared" si="19"/>
        <v>7.5</v>
      </c>
      <c r="K56" s="265">
        <f t="shared" si="19"/>
        <v>8.5</v>
      </c>
      <c r="L56" s="265">
        <f t="shared" si="19"/>
        <v>9.5</v>
      </c>
      <c r="M56" s="265">
        <f t="shared" si="19"/>
        <v>10.5</v>
      </c>
      <c r="N56" s="265">
        <f t="shared" si="19"/>
        <v>11.5</v>
      </c>
    </row>
    <row r="57" spans="1:16" s="32" customFormat="1" ht="12.9" x14ac:dyDescent="0.5">
      <c r="A57" s="92" t="s">
        <v>438</v>
      </c>
      <c r="B57" s="92"/>
      <c r="C57" s="158"/>
      <c r="D57" s="158"/>
      <c r="E57" s="158"/>
      <c r="F57" s="283"/>
      <c r="G57" s="283">
        <v>1</v>
      </c>
      <c r="H57" s="283">
        <v>0</v>
      </c>
      <c r="I57" s="283">
        <v>0</v>
      </c>
      <c r="J57" s="283">
        <v>0.5</v>
      </c>
      <c r="K57" s="283">
        <v>1</v>
      </c>
      <c r="L57" s="283">
        <v>1</v>
      </c>
      <c r="M57" s="283">
        <v>1</v>
      </c>
      <c r="N57" s="283">
        <v>1</v>
      </c>
      <c r="P57" s="35"/>
    </row>
    <row r="58" spans="1:16" x14ac:dyDescent="0.6">
      <c r="A58" s="238"/>
      <c r="B58" s="238"/>
      <c r="C58" s="238"/>
      <c r="D58" s="238"/>
      <c r="E58" s="238"/>
      <c r="F58" s="239"/>
      <c r="G58" s="239"/>
      <c r="H58" s="239"/>
      <c r="I58" s="239"/>
      <c r="J58" s="239"/>
      <c r="K58" s="239"/>
      <c r="L58" s="239"/>
      <c r="M58" s="239"/>
      <c r="N58" s="239"/>
    </row>
    <row r="59" spans="1:16" x14ac:dyDescent="0.6">
      <c r="A59" s="168" t="s">
        <v>318</v>
      </c>
      <c r="B59" s="238"/>
      <c r="C59" s="238"/>
      <c r="D59" s="238"/>
      <c r="E59" s="238">
        <f>E60*E61</f>
        <v>0</v>
      </c>
      <c r="F59" s="23">
        <f t="shared" ref="F59:N59" si="20">F60*F61</f>
        <v>35.581395348837212</v>
      </c>
      <c r="G59" s="23">
        <f t="shared" si="20"/>
        <v>46.893787575150292</v>
      </c>
      <c r="H59" s="23">
        <f t="shared" si="20"/>
        <v>58.613333333333337</v>
      </c>
      <c r="I59" s="23">
        <f t="shared" si="20"/>
        <v>71.705755395683454</v>
      </c>
      <c r="J59" s="23">
        <f t="shared" si="20"/>
        <v>86.671942446043175</v>
      </c>
      <c r="K59" s="23">
        <f t="shared" si="20"/>
        <v>102.84604316546765</v>
      </c>
      <c r="L59" s="23">
        <f t="shared" si="20"/>
        <v>119.06474820143889</v>
      </c>
      <c r="M59" s="23">
        <f t="shared" si="20"/>
        <v>134.4377697841727</v>
      </c>
      <c r="N59" s="23">
        <f t="shared" si="20"/>
        <v>149.88884892086335</v>
      </c>
    </row>
    <row r="60" spans="1:16" x14ac:dyDescent="0.6">
      <c r="A60" s="240" t="str">
        <f>A55</f>
        <v>Active clients, millions</v>
      </c>
      <c r="B60" s="238"/>
      <c r="C60" s="238"/>
      <c r="D60" s="238"/>
      <c r="E60" s="241">
        <f>Drivers!F360</f>
        <v>3.2880000000000003</v>
      </c>
      <c r="F60" s="241">
        <f>Drivers!G360</f>
        <v>7.3440000000000003</v>
      </c>
      <c r="G60" s="241">
        <f>Drivers!H360</f>
        <v>11.7</v>
      </c>
      <c r="H60" s="241">
        <f>Drivers!I360</f>
        <v>15.072000000000001</v>
      </c>
      <c r="I60" s="241">
        <f>Drivers!J360</f>
        <v>18.122</v>
      </c>
      <c r="J60" s="241">
        <f>Drivers!K360</f>
        <v>20.952000000000002</v>
      </c>
      <c r="K60" s="241">
        <f>Drivers!L360</f>
        <v>23.826000000000001</v>
      </c>
      <c r="L60" s="241">
        <f>Drivers!M360</f>
        <v>26.480000000000008</v>
      </c>
      <c r="M60" s="241">
        <f>Drivers!N360</f>
        <v>28.749000000000009</v>
      </c>
      <c r="N60" s="241">
        <f>Drivers!O360</f>
        <v>30.86600000000001</v>
      </c>
    </row>
    <row r="61" spans="1:16" x14ac:dyDescent="0.6">
      <c r="A61" s="240" t="s">
        <v>326</v>
      </c>
      <c r="B61" s="238"/>
      <c r="C61" s="238"/>
      <c r="D61" s="238"/>
      <c r="E61" s="238">
        <v>0</v>
      </c>
      <c r="F61" s="265">
        <f>Drivers!G368</f>
        <v>4.8449612403100772</v>
      </c>
      <c r="G61" s="265">
        <f>Drivers!H368</f>
        <v>4.0080160320641278</v>
      </c>
      <c r="H61" s="265">
        <f>Drivers!I368</f>
        <v>3.8888888888888888</v>
      </c>
      <c r="I61" s="265">
        <f>Drivers!J368</f>
        <v>3.956834532374101</v>
      </c>
      <c r="J61" s="265">
        <f>Drivers!K368</f>
        <v>4.1366906474820144</v>
      </c>
      <c r="K61" s="265">
        <f>Drivers!L368</f>
        <v>4.3165467625899288</v>
      </c>
      <c r="L61" s="265">
        <f>Drivers!M368</f>
        <v>4.4964028776978422</v>
      </c>
      <c r="M61" s="265">
        <f>Drivers!N368</f>
        <v>4.6762589928057556</v>
      </c>
      <c r="N61" s="265">
        <f>Drivers!O368</f>
        <v>4.8561151079136691</v>
      </c>
    </row>
    <row r="62" spans="1:16" s="32" customFormat="1" ht="12.9" x14ac:dyDescent="0.5">
      <c r="A62" s="92" t="s">
        <v>438</v>
      </c>
      <c r="B62" s="92"/>
      <c r="C62" s="158"/>
      <c r="D62" s="158"/>
      <c r="E62" s="158"/>
      <c r="F62" s="284"/>
      <c r="G62" s="284"/>
      <c r="H62" s="284">
        <f t="shared" ref="H62:N62" si="21">H61-G61</f>
        <v>-0.11912714317523898</v>
      </c>
      <c r="I62" s="284">
        <f t="shared" si="21"/>
        <v>6.7945643485212148E-2</v>
      </c>
      <c r="J62" s="284">
        <f t="shared" si="21"/>
        <v>0.17985611510791344</v>
      </c>
      <c r="K62" s="284">
        <f t="shared" si="21"/>
        <v>0.17985611510791433</v>
      </c>
      <c r="L62" s="284">
        <f t="shared" si="21"/>
        <v>0.17985611510791344</v>
      </c>
      <c r="M62" s="284">
        <f t="shared" si="21"/>
        <v>0.17985611510791344</v>
      </c>
      <c r="N62" s="284">
        <f t="shared" si="21"/>
        <v>0.17985611510791344</v>
      </c>
      <c r="P62" s="35"/>
    </row>
    <row r="64" spans="1:16" x14ac:dyDescent="0.6">
      <c r="A64" s="168" t="s">
        <v>1287</v>
      </c>
      <c r="C64" s="43">
        <f>C46-C48-C54-C59</f>
        <v>21.1</v>
      </c>
      <c r="D64" s="43">
        <f>D46-D48-D54-D59</f>
        <v>29.9</v>
      </c>
      <c r="E64" s="43">
        <f>E46-E48-E54-E59</f>
        <v>65.766000000000005</v>
      </c>
      <c r="F64" s="43">
        <f>F46-F48-F54-F59</f>
        <v>29.765953488372084</v>
      </c>
      <c r="G64" s="43">
        <f>G46-G48-G54-G59</f>
        <v>10.082244488977963</v>
      </c>
      <c r="H64" s="59">
        <v>20</v>
      </c>
      <c r="I64" s="59">
        <f t="shared" ref="I64:N64" si="22">H64*1.1</f>
        <v>22</v>
      </c>
      <c r="J64" s="59">
        <f t="shared" si="22"/>
        <v>24.200000000000003</v>
      </c>
      <c r="K64" s="59">
        <f t="shared" si="22"/>
        <v>26.620000000000005</v>
      </c>
      <c r="L64" s="59">
        <f t="shared" si="22"/>
        <v>29.282000000000007</v>
      </c>
      <c r="M64" s="59">
        <f t="shared" si="22"/>
        <v>32.210200000000007</v>
      </c>
      <c r="N64" s="59">
        <f t="shared" si="22"/>
        <v>35.43122000000001</v>
      </c>
    </row>
    <row r="69" spans="1:20" s="88" customFormat="1" ht="15.9" thickBot="1" x14ac:dyDescent="0.65">
      <c r="A69" s="87" t="s">
        <v>91</v>
      </c>
      <c r="B69" s="109">
        <f>B70+B78+B84</f>
        <v>-207.2</v>
      </c>
      <c r="C69" s="109">
        <f>C70+C78+C84</f>
        <v>-364.2</v>
      </c>
      <c r="D69" s="109">
        <f>D70+D78+D84</f>
        <v>-410.2</v>
      </c>
      <c r="E69" s="109">
        <f>E70+E78+E84</f>
        <v>-965.10599999999999</v>
      </c>
      <c r="F69" s="109">
        <f t="shared" ref="F69:N69" si="23">F70+F78+F84</f>
        <v>-3127</v>
      </c>
      <c r="G69" s="109">
        <f t="shared" si="23"/>
        <v>-4536</v>
      </c>
      <c r="H69" s="109">
        <f t="shared" si="23"/>
        <v>-6510.9364600881763</v>
      </c>
      <c r="I69" s="109">
        <f t="shared" si="23"/>
        <v>-8027.4623036878456</v>
      </c>
      <c r="J69" s="109">
        <f t="shared" si="23"/>
        <v>-9602.0218920537864</v>
      </c>
      <c r="K69" s="109">
        <f t="shared" si="23"/>
        <v>-10597.027172395497</v>
      </c>
      <c r="L69" s="109">
        <f t="shared" si="23"/>
        <v>-11642.028584948857</v>
      </c>
      <c r="M69" s="109">
        <f t="shared" si="23"/>
        <v>-12821.265374346729</v>
      </c>
      <c r="N69" s="109">
        <f t="shared" si="23"/>
        <v>-13884.503134752695</v>
      </c>
    </row>
    <row r="70" spans="1:20" s="26" customFormat="1" ht="14.4" x14ac:dyDescent="0.55000000000000004">
      <c r="A70" s="17" t="s">
        <v>89</v>
      </c>
      <c r="B70" s="108">
        <f t="shared" ref="B70:G70" si="24">B71+B77</f>
        <v>-45.4</v>
      </c>
      <c r="C70" s="108">
        <f t="shared" si="24"/>
        <v>-109.69999999999999</v>
      </c>
      <c r="D70" s="108">
        <f t="shared" si="24"/>
        <v>-113.9</v>
      </c>
      <c r="E70" s="108">
        <f t="shared" si="24"/>
        <v>-367.34399999999999</v>
      </c>
      <c r="F70" s="108">
        <f>F71+F77</f>
        <v>-1548</v>
      </c>
      <c r="G70" s="108">
        <f t="shared" si="24"/>
        <v>-2036</v>
      </c>
      <c r="H70" s="108">
        <f t="shared" ref="H70:N70" si="25">H71+H77</f>
        <v>-2844.4204600881767</v>
      </c>
      <c r="I70" s="108">
        <f t="shared" si="25"/>
        <v>-3461.6073036878447</v>
      </c>
      <c r="J70" s="108">
        <f t="shared" si="25"/>
        <v>-4006.2684307533441</v>
      </c>
      <c r="K70" s="108">
        <f t="shared" si="25"/>
        <v>-4470.6273251791217</v>
      </c>
      <c r="L70" s="108">
        <f t="shared" si="25"/>
        <v>-5152.1537430362087</v>
      </c>
      <c r="M70" s="108">
        <f t="shared" si="25"/>
        <v>-5842.4118397407856</v>
      </c>
      <c r="N70" s="108">
        <f t="shared" si="25"/>
        <v>-6548.3490894185179</v>
      </c>
    </row>
    <row r="71" spans="1:20" x14ac:dyDescent="0.6">
      <c r="A71" s="312" t="s">
        <v>167</v>
      </c>
      <c r="B71" s="173">
        <v>-16.899999999999999</v>
      </c>
      <c r="C71" s="173">
        <v>-81.099999999999994</v>
      </c>
      <c r="D71" s="173">
        <v>-87.2</v>
      </c>
      <c r="E71" s="173">
        <v>-317.42</v>
      </c>
      <c r="F71" s="173">
        <v>-1408</v>
      </c>
      <c r="G71" s="173">
        <v>-1723</v>
      </c>
      <c r="H71" s="43">
        <f>-H72*AVERAGE(Master!H212:I212)</f>
        <v>-2319.4204600881767</v>
      </c>
      <c r="I71" s="43">
        <f>-I72*AVERAGE(Master!I212:J212)</f>
        <v>-2805.3573036878447</v>
      </c>
      <c r="J71" s="43">
        <f>-J72*AVERAGE(Master!J212:K212)</f>
        <v>-3317.2059307533441</v>
      </c>
      <c r="K71" s="43">
        <f>-K72*AVERAGE(Master!K212:L212)</f>
        <v>-3747.1117001791217</v>
      </c>
      <c r="L71" s="43">
        <f>-L72*AVERAGE(Master!L212:M212)</f>
        <v>-4392.4623367862087</v>
      </c>
      <c r="M71" s="43">
        <f>-M72*AVERAGE(Master!M212:N212)</f>
        <v>-5044.7358631782854</v>
      </c>
      <c r="N71" s="43">
        <f>-N72*AVERAGE(Master!N212:O212)</f>
        <v>-5710.7893140278929</v>
      </c>
    </row>
    <row r="72" spans="1:20" x14ac:dyDescent="0.6">
      <c r="A72" s="24" t="s">
        <v>265</v>
      </c>
      <c r="B72" s="268">
        <f>-B71/AVERAGE(Master!C212)</f>
        <v>2.688086527755686E-2</v>
      </c>
      <c r="C72" s="268">
        <f>-C71/AVERAGE(Master!C212:D212)</f>
        <v>4.8827478250398869E-2</v>
      </c>
      <c r="D72" s="268">
        <f>-D71/AVERAGE(Master!D212:E212)</f>
        <v>2.1067636293352343E-2</v>
      </c>
      <c r="E72" s="268">
        <f>-E71/AVERAGE(Master!E212:F212)</f>
        <v>4.1622847851457499E-2</v>
      </c>
      <c r="F72" s="268">
        <f>-F71/AVERAGE(Master!F212:G212)</f>
        <v>0.11053844311941372</v>
      </c>
      <c r="G72" s="268">
        <f>-G71/AVERAGE(Master!G212:H212)</f>
        <v>8.7242715005443172E-2</v>
      </c>
      <c r="H72" s="195">
        <f>H74*Macro!I2</f>
        <v>8.6261154787451083E-2</v>
      </c>
      <c r="I72" s="195">
        <f>I74*Macro!J2</f>
        <v>8.103443380690567E-2</v>
      </c>
      <c r="J72" s="195">
        <f>J74*Macro!K2</f>
        <v>7.6982712116560381E-2</v>
      </c>
      <c r="K72" s="195">
        <f>K74*Macro!L2</f>
        <v>7.2930990426215106E-2</v>
      </c>
      <c r="L72" s="195">
        <f>L74*Macro!M2</f>
        <v>7.2930990426215106E-2</v>
      </c>
      <c r="M72" s="195">
        <f>M74*Macro!N2</f>
        <v>7.2930990426215106E-2</v>
      </c>
      <c r="N72" s="195">
        <f>N74*Macro!O2</f>
        <v>7.2930990426215106E-2</v>
      </c>
    </row>
    <row r="73" spans="1:20" x14ac:dyDescent="0.6">
      <c r="A73" s="24" t="s">
        <v>65</v>
      </c>
      <c r="B73" s="268"/>
      <c r="C73" s="268"/>
      <c r="D73" s="268">
        <f>Macro!E2</f>
        <v>2.7699999999999999E-2</v>
      </c>
      <c r="E73" s="268">
        <f>Macro!F2</f>
        <v>4.3499999999999997E-2</v>
      </c>
      <c r="F73" s="268">
        <f>Macro!G2</f>
        <v>0.127</v>
      </c>
      <c r="G73" s="268">
        <f>Macro!H2</f>
        <v>0.13312499999999999</v>
      </c>
      <c r="H73" s="268">
        <f>Macro!I2</f>
        <v>0.10644999999999999</v>
      </c>
      <c r="I73" s="268">
        <f>Macro!J2</f>
        <v>0.1</v>
      </c>
      <c r="J73" s="268">
        <f>Macro!K2</f>
        <v>9.5000000000000001E-2</v>
      </c>
      <c r="K73" s="268">
        <f>Macro!L2</f>
        <v>0.09</v>
      </c>
      <c r="L73" s="268">
        <f>Macro!M2</f>
        <v>0.09</v>
      </c>
      <c r="M73" s="268">
        <f>Macro!N2</f>
        <v>0.09</v>
      </c>
      <c r="N73" s="268">
        <f>Macro!O2</f>
        <v>0.09</v>
      </c>
    </row>
    <row r="74" spans="1:20" x14ac:dyDescent="0.6">
      <c r="A74" s="24" t="s">
        <v>266</v>
      </c>
      <c r="B74" s="271">
        <f>B72/Macro!C2</f>
        <v>0.41870506662861157</v>
      </c>
      <c r="C74" s="271">
        <f>C72/Macro!D2</f>
        <v>0.81925299077850455</v>
      </c>
      <c r="D74" s="271">
        <f>D72/Macro!E2</f>
        <v>0.76056448712463331</v>
      </c>
      <c r="E74" s="271">
        <f>E72/Macro!F2</f>
        <v>0.95684707704500005</v>
      </c>
      <c r="F74" s="271">
        <f>F72/Macro!G2</f>
        <v>0.87038144188514732</v>
      </c>
      <c r="G74" s="271">
        <f>G72/Macro!H2</f>
        <v>0.65534433806905668</v>
      </c>
      <c r="H74" s="39">
        <f t="shared" ref="H74:N74" si="26">G74+H75</f>
        <v>0.8103443380690567</v>
      </c>
      <c r="I74" s="39">
        <f t="shared" si="26"/>
        <v>0.8103443380690567</v>
      </c>
      <c r="J74" s="39">
        <f t="shared" si="26"/>
        <v>0.8103443380690567</v>
      </c>
      <c r="K74" s="39">
        <f t="shared" si="26"/>
        <v>0.8103443380690567</v>
      </c>
      <c r="L74" s="39">
        <f t="shared" si="26"/>
        <v>0.8103443380690567</v>
      </c>
      <c r="M74" s="39">
        <f t="shared" si="26"/>
        <v>0.8103443380690567</v>
      </c>
      <c r="N74" s="39">
        <f t="shared" si="26"/>
        <v>0.8103443380690567</v>
      </c>
      <c r="O74" s="166"/>
    </row>
    <row r="75" spans="1:20" s="32" customFormat="1" ht="12.9" x14ac:dyDescent="0.5">
      <c r="A75" s="92" t="s">
        <v>439</v>
      </c>
      <c r="B75" s="92"/>
      <c r="C75" s="158"/>
      <c r="D75" s="158"/>
      <c r="E75" s="159"/>
      <c r="F75" s="159">
        <f>F74-E74</f>
        <v>-8.6465635159852727E-2</v>
      </c>
      <c r="G75" s="159">
        <f>G74-F74</f>
        <v>-0.21503710381609065</v>
      </c>
      <c r="H75" s="218">
        <v>0.155</v>
      </c>
      <c r="I75" s="218">
        <v>0</v>
      </c>
      <c r="J75" s="218">
        <v>0</v>
      </c>
      <c r="K75" s="218">
        <v>0</v>
      </c>
      <c r="L75" s="218">
        <v>0</v>
      </c>
      <c r="M75" s="218">
        <v>0</v>
      </c>
      <c r="N75" s="218">
        <v>0</v>
      </c>
      <c r="P75" s="35"/>
      <c r="R75" s="39"/>
      <c r="S75" s="39"/>
      <c r="T75" s="39"/>
    </row>
    <row r="76" spans="1:20" x14ac:dyDescent="0.6">
      <c r="A76" s="29"/>
      <c r="B76" s="59"/>
      <c r="C76" s="59"/>
      <c r="D76" s="59"/>
      <c r="E76" s="59"/>
      <c r="S76" s="43"/>
      <c r="T76" s="43"/>
    </row>
    <row r="77" spans="1:20" x14ac:dyDescent="0.6">
      <c r="A77" s="29" t="s">
        <v>168</v>
      </c>
      <c r="B77" s="173">
        <v>-28.5</v>
      </c>
      <c r="C77" s="173">
        <v>-28.6</v>
      </c>
      <c r="D77" s="173">
        <v>-26.7</v>
      </c>
      <c r="E77" s="173">
        <v>-49.923999999999999</v>
      </c>
      <c r="F77" s="173">
        <v>-140</v>
      </c>
      <c r="G77" s="173">
        <v>-313</v>
      </c>
      <c r="H77" s="30">
        <v>-525</v>
      </c>
      <c r="I77" s="30">
        <f>H77*1.25</f>
        <v>-656.25</v>
      </c>
      <c r="J77" s="30">
        <f>I77*1.05</f>
        <v>-689.0625</v>
      </c>
      <c r="K77" s="30">
        <f>J77*1.05</f>
        <v>-723.515625</v>
      </c>
      <c r="L77" s="30">
        <f t="shared" ref="L77:N77" si="27">K77*1.05</f>
        <v>-759.69140625</v>
      </c>
      <c r="M77" s="30">
        <f t="shared" si="27"/>
        <v>-797.67597656250007</v>
      </c>
      <c r="N77" s="30">
        <f t="shared" si="27"/>
        <v>-837.55977539062508</v>
      </c>
      <c r="O77" s="166"/>
      <c r="S77" s="43"/>
      <c r="T77" s="43"/>
    </row>
    <row r="78" spans="1:20" x14ac:dyDescent="0.6">
      <c r="A78" s="17" t="s">
        <v>173</v>
      </c>
      <c r="B78" s="108">
        <f t="shared" ref="B78:G78" si="28">B80+B81+B82+B83</f>
        <v>-43.199999999999996</v>
      </c>
      <c r="C78" s="108">
        <f t="shared" si="28"/>
        <v>-79.3</v>
      </c>
      <c r="D78" s="108">
        <f t="shared" si="28"/>
        <v>-126.8</v>
      </c>
      <c r="E78" s="108">
        <f t="shared" si="28"/>
        <v>-117.11899999999999</v>
      </c>
      <c r="F78" s="108">
        <f t="shared" si="28"/>
        <v>-174</v>
      </c>
      <c r="G78" s="108">
        <f t="shared" si="28"/>
        <v>-215</v>
      </c>
      <c r="H78" s="30">
        <f>G78*1.25</f>
        <v>-268.75</v>
      </c>
      <c r="I78" s="30">
        <f>H78*1.3</f>
        <v>-349.375</v>
      </c>
      <c r="J78" s="44">
        <f>J33/I33*I78</f>
        <v>-442.25346130044193</v>
      </c>
      <c r="K78" s="44">
        <f>K33/J33*J78</f>
        <v>-541.97984721637488</v>
      </c>
      <c r="L78" s="44">
        <f>L33/K33*K78</f>
        <v>-606.37484191264946</v>
      </c>
      <c r="M78" s="44">
        <f>M33/L33*L78</f>
        <v>-664.43353460594312</v>
      </c>
      <c r="N78" s="44">
        <f>N33/M33*M78</f>
        <v>-722.65404533417609</v>
      </c>
      <c r="R78" s="195"/>
      <c r="S78" s="195"/>
      <c r="T78" s="195"/>
    </row>
    <row r="79" spans="1:20" x14ac:dyDescent="0.6">
      <c r="A79" s="92"/>
      <c r="B79" s="92"/>
      <c r="C79" s="158"/>
      <c r="D79" s="158"/>
      <c r="E79" s="158"/>
      <c r="F79" s="158"/>
      <c r="G79" s="158"/>
      <c r="H79" s="158"/>
      <c r="I79" s="158"/>
      <c r="J79" s="158"/>
      <c r="K79" s="158"/>
      <c r="L79" s="158"/>
      <c r="M79" s="158"/>
      <c r="N79" s="158"/>
    </row>
    <row r="80" spans="1:20" x14ac:dyDescent="0.6">
      <c r="A80" s="29" t="s">
        <v>169</v>
      </c>
      <c r="B80" s="173">
        <v>-18.2</v>
      </c>
      <c r="C80" s="173">
        <v>-31.5</v>
      </c>
      <c r="D80" s="173">
        <v>-46.5</v>
      </c>
      <c r="E80" s="173">
        <v>-36.149000000000001</v>
      </c>
      <c r="F80" s="173">
        <v>-33</v>
      </c>
      <c r="G80" s="173">
        <v>-24</v>
      </c>
      <c r="O80" s="166"/>
    </row>
    <row r="81" spans="1:16" x14ac:dyDescent="0.6">
      <c r="A81" s="29" t="s">
        <v>170</v>
      </c>
      <c r="B81" s="173">
        <v>-10.3</v>
      </c>
      <c r="C81" s="173">
        <v>-21.5</v>
      </c>
      <c r="D81" s="173">
        <v>-29.6</v>
      </c>
      <c r="E81" s="173">
        <v>-36.884999999999998</v>
      </c>
      <c r="F81" s="173">
        <v>-42</v>
      </c>
      <c r="G81" s="173">
        <v>-58</v>
      </c>
      <c r="O81" s="166"/>
    </row>
    <row r="82" spans="1:16" x14ac:dyDescent="0.6">
      <c r="A82" s="29" t="s">
        <v>171</v>
      </c>
      <c r="B82" s="173">
        <v>-10.3</v>
      </c>
      <c r="C82" s="173">
        <v>-14.7</v>
      </c>
      <c r="D82" s="173">
        <v>-25</v>
      </c>
      <c r="E82" s="173">
        <v>-22.704999999999998</v>
      </c>
      <c r="F82" s="173">
        <v>-54</v>
      </c>
      <c r="G82" s="173">
        <v>-52</v>
      </c>
      <c r="O82" s="166"/>
    </row>
    <row r="83" spans="1:16" x14ac:dyDescent="0.6">
      <c r="A83" s="29" t="s">
        <v>172</v>
      </c>
      <c r="B83" s="173">
        <v>-4.4000000000000004</v>
      </c>
      <c r="C83" s="173">
        <v>-11.6</v>
      </c>
      <c r="D83" s="173">
        <v>-25.7</v>
      </c>
      <c r="E83" s="173">
        <v>-21.38</v>
      </c>
      <c r="F83" s="173">
        <v>-45</v>
      </c>
      <c r="G83" s="173">
        <v>-81</v>
      </c>
      <c r="O83" s="166"/>
    </row>
    <row r="84" spans="1:16" x14ac:dyDescent="0.6">
      <c r="A84" s="17" t="s">
        <v>90</v>
      </c>
      <c r="B84" s="173">
        <v>-118.6</v>
      </c>
      <c r="C84" s="173">
        <v>-175.2</v>
      </c>
      <c r="D84" s="173">
        <v>-169.5</v>
      </c>
      <c r="E84" s="173">
        <v>-480.64299999999997</v>
      </c>
      <c r="F84" s="173">
        <v>-1405</v>
      </c>
      <c r="G84" s="173">
        <v>-2285</v>
      </c>
      <c r="H84" s="43">
        <f t="shared" ref="H84:N84" si="29">H136</f>
        <v>-3397.7659999999996</v>
      </c>
      <c r="I84" s="43">
        <f t="shared" si="29"/>
        <v>-4216.4800000000005</v>
      </c>
      <c r="J84" s="43">
        <f t="shared" si="29"/>
        <v>-5153.5</v>
      </c>
      <c r="K84" s="43">
        <f t="shared" si="29"/>
        <v>-5584.42</v>
      </c>
      <c r="L84" s="43">
        <f t="shared" si="29"/>
        <v>-5883.5</v>
      </c>
      <c r="M84" s="43">
        <f t="shared" si="29"/>
        <v>-6314.42</v>
      </c>
      <c r="N84" s="43">
        <f t="shared" si="29"/>
        <v>-6613.5000000000009</v>
      </c>
      <c r="O84" s="166"/>
    </row>
    <row r="85" spans="1:16" x14ac:dyDescent="0.6">
      <c r="A85" s="183" t="s">
        <v>1046</v>
      </c>
      <c r="B85" s="117"/>
      <c r="C85" s="117">
        <f>SUM(Master!D193:D194)/SUM(Master!C193:C194)-1</f>
        <v>0.75175514225889883</v>
      </c>
      <c r="D85" s="117">
        <f>SUM(Master!E193:E194)/SUM(Master!D193:D194)-1</f>
        <v>9.376888078584944E-2</v>
      </c>
      <c r="E85" s="117">
        <f>SUM(Master!F193:F194)/SUM(Master!E193:E194)-1</f>
        <v>0.92056469184730139</v>
      </c>
      <c r="F85" s="117">
        <f>SUM(Master!G193:G194)/SUM(Master!F193:F194)-1</f>
        <v>0.65782193727187388</v>
      </c>
      <c r="G85" s="117">
        <f>SUM(Master!H193:H194)/SUM(Master!G193:G194)-1</f>
        <v>0.5764183323238441</v>
      </c>
      <c r="H85" s="117">
        <f>SUM(Master!I193:I194)/SUM(Master!H193:H194)-1</f>
        <v>0.21231594344126825</v>
      </c>
      <c r="I85" s="117">
        <f>SUM(Master!J193:J194)/SUM(Master!I193:I194)-1</f>
        <v>0.29999910981038225</v>
      </c>
      <c r="J85" s="117">
        <f>SUM(Master!K193:K194)/SUM(Master!J193:J194)-1</f>
        <v>0.2628890406889659</v>
      </c>
      <c r="K85" s="117">
        <f>SUM(Master!L193:L194)/SUM(Master!K193:K194)-1</f>
        <v>0.21350473704094597</v>
      </c>
      <c r="L85" s="117">
        <f>SUM(Master!M193:M194)/SUM(Master!L193:L194)-1</f>
        <v>0.1747478039491166</v>
      </c>
      <c r="M85" s="117">
        <f>SUM(Master!N193:N194)/SUM(Master!M193:M194)-1</f>
        <v>0.1373702733808031</v>
      </c>
      <c r="N85" s="117">
        <f>SUM(Master!O193:O194)/SUM(Master!N193:N194)-1</f>
        <v>0.12289380290713225</v>
      </c>
    </row>
    <row r="86" spans="1:16" x14ac:dyDescent="0.6">
      <c r="A86" s="346" t="s">
        <v>1076</v>
      </c>
      <c r="B86" s="270">
        <f>-B84/Master!C4</f>
        <v>0.37190341799937288</v>
      </c>
      <c r="C86" s="270">
        <f>-C84/Master!D4</f>
        <v>0.28622774056526712</v>
      </c>
      <c r="D86" s="270">
        <f>-D84/Master!E4</f>
        <v>0.22995522995522996</v>
      </c>
      <c r="E86" s="270">
        <f>-E84/Master!F4</f>
        <v>0.28323831133481775</v>
      </c>
      <c r="F86" s="270">
        <f>-F84/Master!G4</f>
        <v>0.2933089445032338</v>
      </c>
      <c r="G86" s="270">
        <f>-G84/Master!H4</f>
        <v>0.28462879920279022</v>
      </c>
      <c r="H86" s="270">
        <f>-H84/Master!I4</f>
        <v>0.28414972239489938</v>
      </c>
      <c r="I86" s="270">
        <f>-I84/Master!J4</f>
        <v>0.27660175521304053</v>
      </c>
      <c r="J86" s="270">
        <f>-J84/Master!K4</f>
        <v>0.27542793947198668</v>
      </c>
      <c r="K86" s="270">
        <f>-K84/Master!L4</f>
        <v>0.25575581647859952</v>
      </c>
      <c r="L86" s="270">
        <f>-L84/Master!M4</f>
        <v>0.23921211532036196</v>
      </c>
      <c r="M86" s="270">
        <f>-M84/Master!N4</f>
        <v>0.23191138056796837</v>
      </c>
      <c r="N86" s="270">
        <f>-N84/Master!O4</f>
        <v>0.21734277893411061</v>
      </c>
    </row>
    <row r="87" spans="1:16" ht="15.9" thickBot="1" x14ac:dyDescent="0.65">
      <c r="A87" s="183"/>
      <c r="B87" s="117"/>
      <c r="C87" s="117"/>
      <c r="D87" s="117"/>
      <c r="E87" s="117"/>
      <c r="F87" s="231"/>
      <c r="G87" s="184"/>
      <c r="H87" s="184"/>
      <c r="I87" s="184"/>
      <c r="J87" s="184"/>
      <c r="K87" s="184"/>
      <c r="L87" s="184"/>
      <c r="M87" s="184"/>
      <c r="N87" s="184"/>
    </row>
    <row r="88" spans="1:16" s="32" customFormat="1" ht="15.9" thickBot="1" x14ac:dyDescent="0.65">
      <c r="A88" t="s">
        <v>1038</v>
      </c>
      <c r="B88" s="92"/>
      <c r="C88" s="544">
        <v>6</v>
      </c>
      <c r="D88" s="176"/>
      <c r="E88" s="176"/>
      <c r="F88" s="176"/>
      <c r="G88" s="180"/>
      <c r="H88" s="180"/>
      <c r="I88" s="180"/>
      <c r="J88" s="180"/>
      <c r="K88" s="180"/>
      <c r="L88" s="180"/>
      <c r="M88" s="180"/>
      <c r="N88" s="180"/>
      <c r="P88" s="35"/>
    </row>
    <row r="89" spans="1:16" x14ac:dyDescent="0.6">
      <c r="A89"/>
      <c r="C89" s="43"/>
      <c r="D89" s="43"/>
      <c r="E89" s="43"/>
    </row>
    <row r="90" spans="1:16" x14ac:dyDescent="0.6">
      <c r="A90" t="s">
        <v>993</v>
      </c>
      <c r="B90" s="49">
        <f t="shared" ref="B90:G90" si="30">SUM(B91:B92)</f>
        <v>1770</v>
      </c>
      <c r="C90" s="49">
        <f t="shared" si="30"/>
        <v>3073</v>
      </c>
      <c r="D90" s="49">
        <f t="shared" si="30"/>
        <v>3320</v>
      </c>
      <c r="E90" s="49">
        <f t="shared" si="30"/>
        <v>6554</v>
      </c>
      <c r="F90" s="49">
        <f t="shared" si="30"/>
        <v>11257</v>
      </c>
      <c r="G90" s="49">
        <f t="shared" si="30"/>
        <v>18224</v>
      </c>
      <c r="H90" s="49">
        <f t="shared" ref="H90:N90" si="31">SUM(H91:H92)</f>
        <v>16570</v>
      </c>
      <c r="I90" s="49">
        <f t="shared" si="31"/>
        <v>23724</v>
      </c>
      <c r="J90" s="49">
        <f t="shared" si="31"/>
        <v>22570</v>
      </c>
      <c r="K90" s="49">
        <f t="shared" si="31"/>
        <v>26724</v>
      </c>
      <c r="L90" s="49">
        <f t="shared" si="31"/>
        <v>25570</v>
      </c>
      <c r="M90" s="49">
        <f t="shared" si="31"/>
        <v>29724</v>
      </c>
      <c r="N90" s="49">
        <f t="shared" si="31"/>
        <v>28570</v>
      </c>
    </row>
    <row r="91" spans="1:16" x14ac:dyDescent="0.6">
      <c r="A91" s="167" t="s">
        <v>180</v>
      </c>
      <c r="B91" s="49">
        <v>1770</v>
      </c>
      <c r="C91" s="49">
        <v>3010</v>
      </c>
      <c r="D91" s="49">
        <v>3119</v>
      </c>
      <c r="E91" s="49">
        <v>5162</v>
      </c>
      <c r="F91" s="43">
        <f>Quarts!P245</f>
        <v>9284</v>
      </c>
      <c r="G91" s="43">
        <f>Quarts!U245</f>
        <v>14510</v>
      </c>
      <c r="H91" s="43">
        <f t="shared" ref="H91:N91" si="32">G91-H95+H99</f>
        <v>13284</v>
      </c>
      <c r="I91" s="43">
        <f t="shared" si="32"/>
        <v>18510</v>
      </c>
      <c r="J91" s="43">
        <f t="shared" si="32"/>
        <v>17284</v>
      </c>
      <c r="K91" s="43">
        <f t="shared" si="32"/>
        <v>20510</v>
      </c>
      <c r="L91" s="43">
        <f t="shared" si="32"/>
        <v>19284</v>
      </c>
      <c r="M91" s="43">
        <f t="shared" si="32"/>
        <v>22510</v>
      </c>
      <c r="N91" s="43">
        <f t="shared" si="32"/>
        <v>21284</v>
      </c>
    </row>
    <row r="92" spans="1:16" x14ac:dyDescent="0.6">
      <c r="A92" s="167" t="s">
        <v>218</v>
      </c>
      <c r="B92" s="49">
        <v>0</v>
      </c>
      <c r="C92" s="49">
        <v>63</v>
      </c>
      <c r="D92" s="49">
        <v>201</v>
      </c>
      <c r="E92" s="49">
        <v>1392</v>
      </c>
      <c r="F92" s="43">
        <f>Quarts!P246</f>
        <v>1973</v>
      </c>
      <c r="G92" s="43">
        <f>Quarts!U246</f>
        <v>3714</v>
      </c>
      <c r="H92" s="43">
        <f t="shared" ref="H92:N92" si="33">G92-H96+H100</f>
        <v>3286</v>
      </c>
      <c r="I92" s="43">
        <f t="shared" si="33"/>
        <v>5214</v>
      </c>
      <c r="J92" s="43">
        <f t="shared" si="33"/>
        <v>5286</v>
      </c>
      <c r="K92" s="43">
        <f t="shared" si="33"/>
        <v>6214</v>
      </c>
      <c r="L92" s="43">
        <f t="shared" si="33"/>
        <v>6286</v>
      </c>
      <c r="M92" s="43">
        <f t="shared" si="33"/>
        <v>7214</v>
      </c>
      <c r="N92" s="43">
        <f t="shared" si="33"/>
        <v>7286</v>
      </c>
    </row>
    <row r="93" spans="1:16" x14ac:dyDescent="0.6">
      <c r="A93"/>
    </row>
    <row r="94" spans="1:16" x14ac:dyDescent="0.6">
      <c r="A94" t="s">
        <v>1083</v>
      </c>
      <c r="C94" s="43">
        <f t="shared" ref="C94:D96" si="34">12/$C$88*B90</f>
        <v>3540</v>
      </c>
      <c r="D94" s="43">
        <f t="shared" si="34"/>
        <v>6146</v>
      </c>
      <c r="E94" s="43">
        <f t="shared" ref="E94:F96" si="35">12/$C$88*D90</f>
        <v>6640</v>
      </c>
      <c r="F94" s="43">
        <f t="shared" si="35"/>
        <v>13108</v>
      </c>
      <c r="G94" s="43">
        <f>12/$C$88*F90</f>
        <v>22514</v>
      </c>
      <c r="H94" s="43">
        <f t="shared" ref="H94:N94" si="36">12/$C$88*G90</f>
        <v>36448</v>
      </c>
      <c r="I94" s="43">
        <f t="shared" si="36"/>
        <v>33140</v>
      </c>
      <c r="J94" s="43">
        <f t="shared" si="36"/>
        <v>47448</v>
      </c>
      <c r="K94" s="43">
        <f t="shared" si="36"/>
        <v>45140</v>
      </c>
      <c r="L94" s="43">
        <f t="shared" si="36"/>
        <v>53448</v>
      </c>
      <c r="M94" s="43">
        <f t="shared" si="36"/>
        <v>51140</v>
      </c>
      <c r="N94" s="43">
        <f t="shared" si="36"/>
        <v>59448</v>
      </c>
    </row>
    <row r="95" spans="1:16" x14ac:dyDescent="0.6">
      <c r="A95" s="167" t="s">
        <v>1035</v>
      </c>
      <c r="C95" s="43">
        <f t="shared" si="34"/>
        <v>3540</v>
      </c>
      <c r="D95" s="43">
        <f t="shared" si="34"/>
        <v>6020</v>
      </c>
      <c r="E95" s="43">
        <f>12/$C$88*D91</f>
        <v>6238</v>
      </c>
      <c r="F95" s="43">
        <f t="shared" si="35"/>
        <v>10324</v>
      </c>
      <c r="G95" s="43">
        <f t="shared" ref="G95:N95" si="37">12/$C$88*F91</f>
        <v>18568</v>
      </c>
      <c r="H95" s="43">
        <f t="shared" si="37"/>
        <v>29020</v>
      </c>
      <c r="I95" s="43">
        <f t="shared" si="37"/>
        <v>26568</v>
      </c>
      <c r="J95" s="43">
        <f t="shared" si="37"/>
        <v>37020</v>
      </c>
      <c r="K95" s="43">
        <f t="shared" si="37"/>
        <v>34568</v>
      </c>
      <c r="L95" s="43">
        <f t="shared" si="37"/>
        <v>41020</v>
      </c>
      <c r="M95" s="43">
        <f t="shared" si="37"/>
        <v>38568</v>
      </c>
      <c r="N95" s="43">
        <f t="shared" si="37"/>
        <v>45020</v>
      </c>
    </row>
    <row r="96" spans="1:16" x14ac:dyDescent="0.6">
      <c r="A96" s="167" t="s">
        <v>1034</v>
      </c>
      <c r="C96" s="43">
        <f t="shared" si="34"/>
        <v>0</v>
      </c>
      <c r="D96" s="43">
        <f t="shared" si="34"/>
        <v>126</v>
      </c>
      <c r="E96" s="43">
        <f>12/$C$88*D92</f>
        <v>402</v>
      </c>
      <c r="F96" s="43">
        <f t="shared" si="35"/>
        <v>2784</v>
      </c>
      <c r="G96" s="43">
        <f t="shared" ref="G96:N96" si="38">12/$C$88*F92</f>
        <v>3946</v>
      </c>
      <c r="H96" s="43">
        <f t="shared" si="38"/>
        <v>7428</v>
      </c>
      <c r="I96" s="43">
        <f t="shared" si="38"/>
        <v>6572</v>
      </c>
      <c r="J96" s="43">
        <f t="shared" si="38"/>
        <v>10428</v>
      </c>
      <c r="K96" s="43">
        <f t="shared" si="38"/>
        <v>10572</v>
      </c>
      <c r="L96" s="43">
        <f t="shared" si="38"/>
        <v>12428</v>
      </c>
      <c r="M96" s="43">
        <f t="shared" si="38"/>
        <v>12572</v>
      </c>
      <c r="N96" s="43">
        <f t="shared" si="38"/>
        <v>14428</v>
      </c>
    </row>
    <row r="97" spans="1:20" x14ac:dyDescent="0.6">
      <c r="A97"/>
    </row>
    <row r="98" spans="1:20" x14ac:dyDescent="0.6">
      <c r="A98" s="20" t="s">
        <v>1084</v>
      </c>
      <c r="C98" s="23">
        <f t="shared" ref="C98:G100" si="39">(C90)-(B90-C94)</f>
        <v>4843</v>
      </c>
      <c r="D98" s="23">
        <f t="shared" si="39"/>
        <v>6393</v>
      </c>
      <c r="E98" s="23">
        <f t="shared" si="39"/>
        <v>9874</v>
      </c>
      <c r="F98" s="23">
        <f t="shared" si="39"/>
        <v>17811</v>
      </c>
      <c r="G98" s="23">
        <f>(G90)-(F90-G94)</f>
        <v>29481</v>
      </c>
      <c r="H98" s="23">
        <f>H99+H100</f>
        <v>34794</v>
      </c>
      <c r="I98" s="23">
        <f t="shared" ref="I98:N98" si="40">I99+I100</f>
        <v>40294</v>
      </c>
      <c r="J98" s="23">
        <f t="shared" si="40"/>
        <v>46294</v>
      </c>
      <c r="K98" s="23">
        <f t="shared" si="40"/>
        <v>49294</v>
      </c>
      <c r="L98" s="23">
        <f t="shared" si="40"/>
        <v>52294</v>
      </c>
      <c r="M98" s="23">
        <f t="shared" si="40"/>
        <v>55294</v>
      </c>
      <c r="N98" s="23">
        <f t="shared" si="40"/>
        <v>58294</v>
      </c>
    </row>
    <row r="99" spans="1:20" x14ac:dyDescent="0.6">
      <c r="A99" s="167" t="s">
        <v>1035</v>
      </c>
      <c r="C99" s="23">
        <f t="shared" si="39"/>
        <v>4780</v>
      </c>
      <c r="D99" s="23">
        <f t="shared" si="39"/>
        <v>6129</v>
      </c>
      <c r="E99" s="23">
        <f t="shared" si="39"/>
        <v>8281</v>
      </c>
      <c r="F99" s="23">
        <f t="shared" si="39"/>
        <v>14446</v>
      </c>
      <c r="G99" s="23">
        <f t="shared" si="39"/>
        <v>23794</v>
      </c>
      <c r="H99" s="493">
        <f>G99+4000</f>
        <v>27794</v>
      </c>
      <c r="I99" s="493">
        <f>H99+4000</f>
        <v>31794</v>
      </c>
      <c r="J99" s="493">
        <f>I99+4000</f>
        <v>35794</v>
      </c>
      <c r="K99" s="493">
        <f>J99+2000</f>
        <v>37794</v>
      </c>
      <c r="L99" s="493">
        <f>K99+2000</f>
        <v>39794</v>
      </c>
      <c r="M99" s="493">
        <f>L99+2000</f>
        <v>41794</v>
      </c>
      <c r="N99" s="493">
        <f>M99+2000</f>
        <v>43794</v>
      </c>
    </row>
    <row r="100" spans="1:20" x14ac:dyDescent="0.6">
      <c r="A100" s="167" t="s">
        <v>1034</v>
      </c>
      <c r="C100" s="23">
        <f t="shared" si="39"/>
        <v>63</v>
      </c>
      <c r="D100" s="23">
        <f t="shared" si="39"/>
        <v>264</v>
      </c>
      <c r="E100" s="23">
        <f t="shared" si="39"/>
        <v>1593</v>
      </c>
      <c r="F100" s="23">
        <f t="shared" si="39"/>
        <v>3365</v>
      </c>
      <c r="G100" s="23">
        <f t="shared" si="39"/>
        <v>5687</v>
      </c>
      <c r="H100" s="493">
        <v>7000</v>
      </c>
      <c r="I100" s="493">
        <f>H100+1500</f>
        <v>8500</v>
      </c>
      <c r="J100" s="493">
        <f>I100+2000</f>
        <v>10500</v>
      </c>
      <c r="K100" s="493">
        <f>J100+1000</f>
        <v>11500</v>
      </c>
      <c r="L100" s="493">
        <f>K100+1000</f>
        <v>12500</v>
      </c>
      <c r="M100" s="493">
        <f>L100+1000</f>
        <v>13500</v>
      </c>
      <c r="N100" s="493">
        <f>M100+1000</f>
        <v>14500</v>
      </c>
    </row>
    <row r="101" spans="1:20" x14ac:dyDescent="0.6">
      <c r="A101" s="167"/>
    </row>
    <row r="102" spans="1:20" x14ac:dyDescent="0.6">
      <c r="A102" t="s">
        <v>1051</v>
      </c>
      <c r="C102" s="110"/>
      <c r="D102" s="110">
        <f t="shared" ref="D102:G104" si="41">D98/C98-1</f>
        <v>0.32004955606029317</v>
      </c>
      <c r="E102" s="110">
        <f t="shared" si="41"/>
        <v>0.54450179884248406</v>
      </c>
      <c r="F102" s="110">
        <f t="shared" si="41"/>
        <v>0.80382823577071094</v>
      </c>
      <c r="G102" s="110">
        <f t="shared" si="41"/>
        <v>0.65521307057436418</v>
      </c>
      <c r="H102" s="110">
        <f t="shared" ref="H102:N102" si="42">H98/G98-1</f>
        <v>0.1802177673755978</v>
      </c>
      <c r="I102" s="110">
        <f t="shared" si="42"/>
        <v>0.15807323101684201</v>
      </c>
      <c r="J102" s="110">
        <f t="shared" si="42"/>
        <v>0.14890554424976421</v>
      </c>
      <c r="K102" s="110">
        <f t="shared" si="42"/>
        <v>6.4803214239426365E-2</v>
      </c>
      <c r="L102" s="110">
        <f t="shared" si="42"/>
        <v>6.0859333793159331E-2</v>
      </c>
      <c r="M102" s="110">
        <f t="shared" si="42"/>
        <v>5.736795808314521E-2</v>
      </c>
      <c r="N102" s="110">
        <f t="shared" si="42"/>
        <v>5.4255434586031104E-2</v>
      </c>
    </row>
    <row r="103" spans="1:20" x14ac:dyDescent="0.6">
      <c r="A103" s="167" t="s">
        <v>1035</v>
      </c>
      <c r="C103" s="110"/>
      <c r="D103" s="110">
        <f t="shared" si="41"/>
        <v>0.28221757322175733</v>
      </c>
      <c r="E103" s="110">
        <f t="shared" si="41"/>
        <v>0.35111763746124969</v>
      </c>
      <c r="F103" s="110">
        <f t="shared" si="41"/>
        <v>0.74447530491486535</v>
      </c>
      <c r="G103" s="110">
        <f t="shared" si="41"/>
        <v>0.64709954312612483</v>
      </c>
      <c r="H103" s="110">
        <f t="shared" ref="H103:N103" si="43">H99/G99-1</f>
        <v>0.16810960746406667</v>
      </c>
      <c r="I103" s="110">
        <f t="shared" si="43"/>
        <v>0.14391595308339933</v>
      </c>
      <c r="J103" s="110">
        <f t="shared" si="43"/>
        <v>0.12580990123922753</v>
      </c>
      <c r="K103" s="110">
        <f t="shared" si="43"/>
        <v>5.5875286360842491E-2</v>
      </c>
      <c r="L103" s="110">
        <f t="shared" si="43"/>
        <v>5.2918452664444171E-2</v>
      </c>
      <c r="M103" s="110">
        <f t="shared" si="43"/>
        <v>5.0258832989898083E-2</v>
      </c>
      <c r="N103" s="110">
        <f t="shared" si="43"/>
        <v>4.7853758912762556E-2</v>
      </c>
    </row>
    <row r="104" spans="1:20" x14ac:dyDescent="0.6">
      <c r="A104" s="167" t="s">
        <v>1034</v>
      </c>
      <c r="C104" s="110"/>
      <c r="D104" s="110">
        <f t="shared" si="41"/>
        <v>3.1904761904761907</v>
      </c>
      <c r="E104" s="110">
        <f t="shared" si="41"/>
        <v>5.0340909090909092</v>
      </c>
      <c r="F104" s="110">
        <f t="shared" si="41"/>
        <v>1.1123666038920277</v>
      </c>
      <c r="G104" s="110">
        <f t="shared" si="41"/>
        <v>0.69004457652303119</v>
      </c>
      <c r="H104" s="110">
        <f t="shared" ref="H104:N104" si="44">H100/G100-1</f>
        <v>0.23087743977492536</v>
      </c>
      <c r="I104" s="110">
        <f t="shared" si="44"/>
        <v>0.21428571428571419</v>
      </c>
      <c r="J104" s="110">
        <f t="shared" si="44"/>
        <v>0.23529411764705888</v>
      </c>
      <c r="K104" s="110">
        <f t="shared" si="44"/>
        <v>9.5238095238095344E-2</v>
      </c>
      <c r="L104" s="110">
        <f t="shared" si="44"/>
        <v>8.6956521739130377E-2</v>
      </c>
      <c r="M104" s="110">
        <f t="shared" si="44"/>
        <v>8.0000000000000071E-2</v>
      </c>
      <c r="N104" s="110">
        <f t="shared" si="44"/>
        <v>7.4074074074074181E-2</v>
      </c>
    </row>
    <row r="105" spans="1:20" x14ac:dyDescent="0.6">
      <c r="A105" s="167"/>
    </row>
    <row r="106" spans="1:20" x14ac:dyDescent="0.6">
      <c r="A106" s="167"/>
    </row>
    <row r="107" spans="1:20" x14ac:dyDescent="0.6">
      <c r="A107"/>
    </row>
    <row r="108" spans="1:20" x14ac:dyDescent="0.6">
      <c r="A108" s="167" t="s">
        <v>1036</v>
      </c>
      <c r="B108" s="280">
        <f t="shared" ref="B108:G108" si="45">B91/B90</f>
        <v>1</v>
      </c>
      <c r="C108" s="280">
        <f t="shared" si="45"/>
        <v>0.97949886104783601</v>
      </c>
      <c r="D108" s="280">
        <f t="shared" si="45"/>
        <v>0.93945783132530125</v>
      </c>
      <c r="E108" s="280">
        <f t="shared" si="45"/>
        <v>0.78761061946902655</v>
      </c>
      <c r="F108" s="280">
        <f t="shared" si="45"/>
        <v>0.82473127831571469</v>
      </c>
      <c r="G108" s="280">
        <f t="shared" si="45"/>
        <v>0.79620280948200173</v>
      </c>
      <c r="H108" s="280">
        <f t="shared" ref="H108:N108" si="46">1-H109</f>
        <v>0.78620280948200172</v>
      </c>
      <c r="I108" s="280">
        <f t="shared" si="46"/>
        <v>0.77620280948200171</v>
      </c>
      <c r="J108" s="280">
        <f t="shared" si="46"/>
        <v>0.7662028094820017</v>
      </c>
      <c r="K108" s="280">
        <f t="shared" si="46"/>
        <v>0.75620280948200169</v>
      </c>
      <c r="L108" s="280">
        <f t="shared" si="46"/>
        <v>0.74620280948200168</v>
      </c>
      <c r="M108" s="280">
        <f t="shared" si="46"/>
        <v>0.73620280948200167</v>
      </c>
      <c r="N108" s="280">
        <f t="shared" si="46"/>
        <v>0.72620280948200167</v>
      </c>
    </row>
    <row r="109" spans="1:20" x14ac:dyDescent="0.6">
      <c r="A109" s="167" t="s">
        <v>1037</v>
      </c>
      <c r="B109" s="280">
        <f t="shared" ref="B109:G109" si="47">1-B108</f>
        <v>0</v>
      </c>
      <c r="C109" s="280">
        <f t="shared" si="47"/>
        <v>2.0501138952163989E-2</v>
      </c>
      <c r="D109" s="280">
        <f t="shared" si="47"/>
        <v>6.0542168674698749E-2</v>
      </c>
      <c r="E109" s="280">
        <f t="shared" si="47"/>
        <v>0.21238938053097345</v>
      </c>
      <c r="F109" s="280">
        <f t="shared" si="47"/>
        <v>0.17526872168428531</v>
      </c>
      <c r="G109" s="280">
        <f t="shared" si="47"/>
        <v>0.20379719051799827</v>
      </c>
      <c r="H109" s="738">
        <f>G109+1%</f>
        <v>0.21379719051799828</v>
      </c>
      <c r="I109" s="738">
        <f t="shared" ref="I109:N109" si="48">H109+1%</f>
        <v>0.22379719051799829</v>
      </c>
      <c r="J109" s="738">
        <f t="shared" si="48"/>
        <v>0.2337971905179983</v>
      </c>
      <c r="K109" s="738">
        <f t="shared" si="48"/>
        <v>0.24379719051799831</v>
      </c>
      <c r="L109" s="738">
        <f t="shared" si="48"/>
        <v>0.25379719051799832</v>
      </c>
      <c r="M109" s="738">
        <f t="shared" si="48"/>
        <v>0.26379719051799833</v>
      </c>
      <c r="N109" s="738">
        <f t="shared" si="48"/>
        <v>0.27379719051799833</v>
      </c>
    </row>
    <row r="112" spans="1:20" x14ac:dyDescent="0.6">
      <c r="A112" s="337" t="s">
        <v>180</v>
      </c>
      <c r="B112" s="337"/>
      <c r="C112" s="338"/>
      <c r="D112" s="338"/>
      <c r="E112" s="338"/>
      <c r="F112" s="338"/>
      <c r="G112" s="537"/>
      <c r="H112" s="537"/>
      <c r="I112" s="537"/>
      <c r="J112" s="537"/>
      <c r="K112" s="537"/>
      <c r="L112" s="537"/>
      <c r="M112" s="338"/>
      <c r="N112" s="338"/>
      <c r="O112" s="338"/>
      <c r="P112" s="338"/>
      <c r="Q112" s="338"/>
      <c r="R112" s="338"/>
      <c r="S112" s="338"/>
      <c r="T112" s="338"/>
    </row>
    <row r="113" spans="1:49" x14ac:dyDescent="0.6">
      <c r="A113" s="534" t="s">
        <v>1042</v>
      </c>
      <c r="B113" s="532"/>
      <c r="C113" s="532">
        <f>C123/C99</f>
        <v>0</v>
      </c>
      <c r="D113" s="532">
        <f>D123/D99</f>
        <v>5.0978299885788877E-2</v>
      </c>
      <c r="E113" s="532">
        <f>E123/E99</f>
        <v>5.551974399227147E-2</v>
      </c>
      <c r="F113" s="542">
        <v>7.4999999999999997E-2</v>
      </c>
      <c r="G113" s="542">
        <v>0.09</v>
      </c>
      <c r="H113" s="1263">
        <v>8.8999999999999996E-2</v>
      </c>
      <c r="I113" s="1263">
        <v>0.09</v>
      </c>
      <c r="J113" s="1263">
        <v>0.1</v>
      </c>
      <c r="K113" s="741">
        <f t="shared" ref="K113:N113" si="49">J113</f>
        <v>0.1</v>
      </c>
      <c r="L113" s="741">
        <f t="shared" si="49"/>
        <v>0.1</v>
      </c>
      <c r="M113" s="741">
        <f t="shared" si="49"/>
        <v>0.1</v>
      </c>
      <c r="N113" s="741">
        <f t="shared" si="49"/>
        <v>0.1</v>
      </c>
      <c r="O113" s="542"/>
      <c r="P113" s="338"/>
      <c r="Q113" s="542"/>
      <c r="R113" s="542"/>
      <c r="S113" s="542"/>
      <c r="T113" s="542"/>
    </row>
    <row r="114" spans="1:49" x14ac:dyDescent="0.6">
      <c r="A114" s="535" t="s">
        <v>1043</v>
      </c>
      <c r="B114" s="533"/>
      <c r="C114" s="533">
        <f>C124/B91</f>
        <v>0</v>
      </c>
      <c r="D114" s="533">
        <f>D124/C91</f>
        <v>-5.0390697674418602E-2</v>
      </c>
      <c r="E114" s="533">
        <f>E124/D91</f>
        <v>-4.7501763385700543E-2</v>
      </c>
      <c r="F114" s="543">
        <v>-0.01</v>
      </c>
      <c r="G114" s="543">
        <v>-0.02</v>
      </c>
      <c r="H114" s="543">
        <v>-0.02</v>
      </c>
      <c r="I114" s="742">
        <f t="shared" ref="I114:N114" si="50">H114</f>
        <v>-0.02</v>
      </c>
      <c r="J114" s="742">
        <f t="shared" si="50"/>
        <v>-0.02</v>
      </c>
      <c r="K114" s="742">
        <f t="shared" si="50"/>
        <v>-0.02</v>
      </c>
      <c r="L114" s="742">
        <f t="shared" si="50"/>
        <v>-0.02</v>
      </c>
      <c r="M114" s="742">
        <f t="shared" si="50"/>
        <v>-0.02</v>
      </c>
      <c r="N114" s="742">
        <f t="shared" si="50"/>
        <v>-0.02</v>
      </c>
      <c r="O114" s="543"/>
      <c r="P114" s="341"/>
      <c r="Q114" s="543"/>
      <c r="R114" s="543"/>
      <c r="S114" s="543"/>
      <c r="T114" s="543"/>
    </row>
    <row r="115" spans="1:49" x14ac:dyDescent="0.6">
      <c r="A115" s="336"/>
      <c r="B115" s="537"/>
      <c r="C115" s="537"/>
      <c r="D115" s="537"/>
      <c r="E115" s="537"/>
      <c r="F115" s="537"/>
      <c r="G115" s="537"/>
      <c r="H115" s="743"/>
      <c r="I115" s="743"/>
      <c r="J115" s="743"/>
      <c r="K115" s="743"/>
      <c r="L115" s="743"/>
      <c r="M115" s="743"/>
      <c r="N115" s="743"/>
      <c r="O115" s="338"/>
      <c r="P115" s="338"/>
      <c r="Q115" s="338"/>
      <c r="R115" s="338"/>
      <c r="S115" s="338"/>
      <c r="T115" s="338"/>
    </row>
    <row r="116" spans="1:49" x14ac:dyDescent="0.6">
      <c r="A116" s="337" t="s">
        <v>218</v>
      </c>
      <c r="B116" s="537"/>
      <c r="C116" s="537"/>
      <c r="D116" s="537"/>
      <c r="E116" s="537"/>
      <c r="F116" s="537"/>
      <c r="G116" s="537"/>
      <c r="H116" s="743"/>
      <c r="I116" s="743"/>
      <c r="J116" s="743"/>
      <c r="K116" s="743"/>
      <c r="L116" s="743"/>
      <c r="M116" s="743"/>
      <c r="N116" s="743"/>
      <c r="O116" s="338"/>
      <c r="P116" s="338"/>
      <c r="Q116" s="338"/>
      <c r="R116" s="338"/>
      <c r="S116" s="338"/>
      <c r="T116" s="338"/>
    </row>
    <row r="117" spans="1:49" x14ac:dyDescent="0.6">
      <c r="A117" s="534" t="s">
        <v>1042</v>
      </c>
      <c r="B117" s="532"/>
      <c r="C117" s="532">
        <f>C130/C100</f>
        <v>0</v>
      </c>
      <c r="D117" s="532">
        <f>D130/D100</f>
        <v>0.15570075757575758</v>
      </c>
      <c r="E117" s="532">
        <f>E130/E100</f>
        <v>0.15445323289391086</v>
      </c>
      <c r="F117" s="542">
        <v>0.17</v>
      </c>
      <c r="G117" s="542">
        <v>0.18</v>
      </c>
      <c r="H117" s="542">
        <v>0.2</v>
      </c>
      <c r="I117" s="542">
        <v>0.21</v>
      </c>
      <c r="J117" s="741">
        <f t="shared" ref="J117:N117" si="51">I117</f>
        <v>0.21</v>
      </c>
      <c r="K117" s="741">
        <f t="shared" si="51"/>
        <v>0.21</v>
      </c>
      <c r="L117" s="741">
        <f t="shared" si="51"/>
        <v>0.21</v>
      </c>
      <c r="M117" s="741">
        <f t="shared" si="51"/>
        <v>0.21</v>
      </c>
      <c r="N117" s="741">
        <f t="shared" si="51"/>
        <v>0.21</v>
      </c>
      <c r="O117" s="542"/>
      <c r="P117" s="338"/>
      <c r="Q117" s="542"/>
      <c r="R117" s="542"/>
      <c r="S117" s="542"/>
      <c r="T117" s="542"/>
    </row>
    <row r="118" spans="1:49" x14ac:dyDescent="0.6">
      <c r="A118" s="535" t="s">
        <v>1043</v>
      </c>
      <c r="B118" s="533"/>
      <c r="C118" s="533"/>
      <c r="D118" s="533">
        <f>D131/C92</f>
        <v>-0.22357142857142859</v>
      </c>
      <c r="E118" s="533">
        <f>E131/D92</f>
        <v>-0.26848756218905473</v>
      </c>
      <c r="F118" s="543">
        <v>-0.05</v>
      </c>
      <c r="G118" s="543">
        <v>-0.05</v>
      </c>
      <c r="H118" s="543">
        <v>-0.05</v>
      </c>
      <c r="I118" s="742">
        <f t="shared" ref="I118:N118" si="52">H118</f>
        <v>-0.05</v>
      </c>
      <c r="J118" s="742">
        <f t="shared" si="52"/>
        <v>-0.05</v>
      </c>
      <c r="K118" s="742">
        <f t="shared" si="52"/>
        <v>-0.05</v>
      </c>
      <c r="L118" s="742">
        <f t="shared" si="52"/>
        <v>-0.05</v>
      </c>
      <c r="M118" s="742">
        <f t="shared" si="52"/>
        <v>-0.05</v>
      </c>
      <c r="N118" s="742">
        <f t="shared" si="52"/>
        <v>-0.05</v>
      </c>
      <c r="O118" s="543"/>
      <c r="P118" s="341"/>
      <c r="Q118" s="543"/>
      <c r="R118" s="543"/>
      <c r="S118" s="543"/>
      <c r="T118" s="543"/>
    </row>
    <row r="121" spans="1:49" x14ac:dyDescent="0.6">
      <c r="A121" s="337" t="s">
        <v>1041</v>
      </c>
    </row>
    <row r="122" spans="1:49" x14ac:dyDescent="0.6">
      <c r="A122" s="337" t="s">
        <v>180</v>
      </c>
    </row>
    <row r="123" spans="1:49" x14ac:dyDescent="0.6">
      <c r="A123" s="534" t="s">
        <v>555</v>
      </c>
      <c r="B123" s="49"/>
      <c r="C123" s="49"/>
      <c r="D123" s="49">
        <v>312.44600000000003</v>
      </c>
      <c r="E123" s="49">
        <v>459.75900000000001</v>
      </c>
      <c r="F123" s="49">
        <f>F113*F99</f>
        <v>1083.45</v>
      </c>
      <c r="G123" s="49">
        <f t="shared" ref="G123:N123" si="53">G113*G99</f>
        <v>2141.46</v>
      </c>
      <c r="H123" s="49">
        <f t="shared" si="53"/>
        <v>2473.6659999999997</v>
      </c>
      <c r="I123" s="49">
        <f t="shared" si="53"/>
        <v>2861.46</v>
      </c>
      <c r="J123" s="49">
        <f>J113*J99</f>
        <v>3579.4</v>
      </c>
      <c r="K123" s="49">
        <f t="shared" si="53"/>
        <v>3779.4</v>
      </c>
      <c r="L123" s="49">
        <f t="shared" si="53"/>
        <v>3979.4</v>
      </c>
      <c r="M123" s="49">
        <f t="shared" si="53"/>
        <v>4179.4000000000005</v>
      </c>
      <c r="N123" s="49">
        <f t="shared" si="53"/>
        <v>4379.4000000000005</v>
      </c>
      <c r="O123" s="49"/>
      <c r="P123" s="49"/>
    </row>
    <row r="124" spans="1:49" s="343" customFormat="1" x14ac:dyDescent="0.6">
      <c r="A124" s="535" t="s">
        <v>556</v>
      </c>
      <c r="B124" s="739"/>
      <c r="C124" s="739"/>
      <c r="D124" s="739">
        <v>-151.67599999999999</v>
      </c>
      <c r="E124" s="739">
        <v>-148.15799999999999</v>
      </c>
      <c r="F124" s="739">
        <f>F114*E91</f>
        <v>-51.620000000000005</v>
      </c>
      <c r="G124" s="739">
        <f t="shared" ref="G124:N124" si="54">G114*F91</f>
        <v>-185.68</v>
      </c>
      <c r="H124" s="739">
        <f t="shared" si="54"/>
        <v>-290.2</v>
      </c>
      <c r="I124" s="739">
        <f>I114*H91</f>
        <v>-265.68</v>
      </c>
      <c r="J124" s="739">
        <f t="shared" si="54"/>
        <v>-370.2</v>
      </c>
      <c r="K124" s="739">
        <f t="shared" si="54"/>
        <v>-345.68</v>
      </c>
      <c r="L124" s="739">
        <f t="shared" si="54"/>
        <v>-410.2</v>
      </c>
      <c r="M124" s="739">
        <f t="shared" si="54"/>
        <v>-385.68</v>
      </c>
      <c r="N124" s="739">
        <f t="shared" si="54"/>
        <v>-450.2</v>
      </c>
      <c r="O124" s="739"/>
      <c r="P124" s="739"/>
      <c r="S124" s="84"/>
      <c r="T124" s="84"/>
      <c r="U124" s="84"/>
      <c r="V124" s="84"/>
      <c r="W124" s="84"/>
      <c r="X124" s="84"/>
      <c r="Y124" s="84"/>
      <c r="Z124" s="84"/>
      <c r="AA124" s="84"/>
      <c r="AB124" s="84"/>
      <c r="AC124" s="84"/>
      <c r="AD124" s="84"/>
      <c r="AE124" s="84"/>
      <c r="AF124" s="84"/>
      <c r="AG124" s="84"/>
      <c r="AH124" s="84"/>
      <c r="AI124" s="84"/>
      <c r="AJ124" s="84"/>
      <c r="AK124" s="84"/>
      <c r="AL124" s="84"/>
      <c r="AM124" s="84"/>
      <c r="AN124" s="84"/>
      <c r="AO124" s="84"/>
      <c r="AP124" s="84"/>
      <c r="AQ124" s="84"/>
      <c r="AR124" s="84"/>
      <c r="AS124" s="84"/>
      <c r="AT124" s="84"/>
      <c r="AU124" s="84"/>
      <c r="AV124" s="84"/>
      <c r="AW124" s="84"/>
    </row>
    <row r="125" spans="1:49" x14ac:dyDescent="0.6">
      <c r="A125" s="337" t="s">
        <v>1039</v>
      </c>
      <c r="B125" s="49"/>
      <c r="C125" s="49"/>
      <c r="D125" s="49">
        <f t="shared" ref="D125:N125" si="55">SUM(D123:D124)</f>
        <v>160.77000000000004</v>
      </c>
      <c r="E125" s="49">
        <f t="shared" si="55"/>
        <v>311.601</v>
      </c>
      <c r="F125" s="49">
        <f t="shared" si="55"/>
        <v>1031.83</v>
      </c>
      <c r="G125" s="49">
        <f t="shared" si="55"/>
        <v>1955.78</v>
      </c>
      <c r="H125" s="49">
        <f t="shared" si="55"/>
        <v>2183.4659999999999</v>
      </c>
      <c r="I125" s="49">
        <f t="shared" si="55"/>
        <v>2595.7800000000002</v>
      </c>
      <c r="J125" s="49">
        <f t="shared" si="55"/>
        <v>3209.2000000000003</v>
      </c>
      <c r="K125" s="49">
        <f t="shared" si="55"/>
        <v>3433.7200000000003</v>
      </c>
      <c r="L125" s="49">
        <f t="shared" si="55"/>
        <v>3569.2000000000003</v>
      </c>
      <c r="M125" s="49">
        <f t="shared" si="55"/>
        <v>3793.7200000000007</v>
      </c>
      <c r="N125" s="49">
        <f t="shared" si="55"/>
        <v>3929.2000000000007</v>
      </c>
      <c r="O125" s="49"/>
      <c r="P125" s="49"/>
    </row>
    <row r="126" spans="1:49" s="343" customFormat="1" x14ac:dyDescent="0.6">
      <c r="A126" s="342" t="s">
        <v>558</v>
      </c>
      <c r="B126" s="739"/>
      <c r="C126" s="739"/>
      <c r="D126" s="739">
        <v>-18.202000000000002</v>
      </c>
      <c r="E126" s="739">
        <v>-22.494</v>
      </c>
      <c r="F126" s="740">
        <v>0</v>
      </c>
      <c r="G126" s="740">
        <v>0</v>
      </c>
      <c r="H126" s="740">
        <v>0</v>
      </c>
      <c r="I126" s="740">
        <v>0</v>
      </c>
      <c r="J126" s="740">
        <v>0</v>
      </c>
      <c r="K126" s="740">
        <v>0</v>
      </c>
      <c r="L126" s="740">
        <v>0</v>
      </c>
      <c r="M126" s="740">
        <v>0</v>
      </c>
      <c r="N126" s="740">
        <v>0</v>
      </c>
      <c r="O126" s="739"/>
      <c r="P126" s="739"/>
      <c r="S126" s="84"/>
      <c r="T126" s="84"/>
      <c r="U126" s="84"/>
      <c r="V126" s="84"/>
      <c r="W126" s="84"/>
      <c r="X126" s="84"/>
      <c r="Y126" s="84"/>
      <c r="Z126" s="84"/>
      <c r="AA126" s="84"/>
      <c r="AB126" s="84"/>
      <c r="AC126" s="84"/>
      <c r="AD126" s="84"/>
      <c r="AE126" s="84"/>
      <c r="AF126" s="84"/>
      <c r="AG126" s="84"/>
      <c r="AH126" s="84"/>
      <c r="AI126" s="84"/>
      <c r="AJ126" s="84"/>
      <c r="AK126" s="84"/>
      <c r="AL126" s="84"/>
      <c r="AM126" s="84"/>
      <c r="AN126" s="84"/>
      <c r="AO126" s="84"/>
      <c r="AP126" s="84"/>
      <c r="AQ126" s="84"/>
      <c r="AR126" s="84"/>
      <c r="AS126" s="84"/>
      <c r="AT126" s="84"/>
      <c r="AU126" s="84"/>
      <c r="AV126" s="84"/>
      <c r="AW126" s="84"/>
    </row>
    <row r="127" spans="1:49" x14ac:dyDescent="0.6">
      <c r="A127" s="337" t="s">
        <v>106</v>
      </c>
      <c r="B127" s="49"/>
      <c r="C127" s="49"/>
      <c r="D127" s="49">
        <f t="shared" ref="D127:N127" si="56">SUM(D125:D126)</f>
        <v>142.56800000000004</v>
      </c>
      <c r="E127" s="49">
        <f t="shared" si="56"/>
        <v>289.10699999999997</v>
      </c>
      <c r="F127" s="49">
        <f t="shared" si="56"/>
        <v>1031.83</v>
      </c>
      <c r="G127" s="49">
        <f t="shared" si="56"/>
        <v>1955.78</v>
      </c>
      <c r="H127" s="49">
        <f t="shared" si="56"/>
        <v>2183.4659999999999</v>
      </c>
      <c r="I127" s="49">
        <f t="shared" si="56"/>
        <v>2595.7800000000002</v>
      </c>
      <c r="J127" s="49">
        <f t="shared" si="56"/>
        <v>3209.2000000000003</v>
      </c>
      <c r="K127" s="49">
        <f t="shared" si="56"/>
        <v>3433.7200000000003</v>
      </c>
      <c r="L127" s="49">
        <f t="shared" si="56"/>
        <v>3569.2000000000003</v>
      </c>
      <c r="M127" s="49">
        <f t="shared" si="56"/>
        <v>3793.7200000000007</v>
      </c>
      <c r="N127" s="49">
        <f t="shared" si="56"/>
        <v>3929.2000000000007</v>
      </c>
      <c r="O127" s="49"/>
      <c r="P127" s="49"/>
    </row>
    <row r="128" spans="1:49" x14ac:dyDescent="0.6">
      <c r="A128" s="336"/>
      <c r="B128" s="49"/>
      <c r="C128" s="49"/>
      <c r="D128" s="49"/>
      <c r="E128" s="49"/>
      <c r="F128" s="49"/>
      <c r="G128" s="49"/>
      <c r="H128" s="49"/>
      <c r="I128" s="49"/>
      <c r="J128" s="49"/>
      <c r="K128" s="49"/>
      <c r="L128" s="49"/>
      <c r="M128" s="49"/>
      <c r="N128" s="49"/>
      <c r="O128" s="49"/>
      <c r="P128" s="49"/>
    </row>
    <row r="129" spans="1:49" x14ac:dyDescent="0.6">
      <c r="A129" s="337" t="s">
        <v>218</v>
      </c>
      <c r="B129" s="49"/>
      <c r="C129" s="49"/>
      <c r="D129" s="49"/>
      <c r="E129" s="49"/>
      <c r="F129" s="49"/>
      <c r="G129" s="49"/>
      <c r="H129" s="49"/>
      <c r="I129" s="49"/>
      <c r="J129" s="49"/>
      <c r="K129" s="49"/>
      <c r="L129" s="49"/>
      <c r="M129" s="49"/>
      <c r="N129" s="49"/>
      <c r="O129" s="49"/>
      <c r="P129" s="49"/>
    </row>
    <row r="130" spans="1:49" x14ac:dyDescent="0.6">
      <c r="A130" s="534" t="s">
        <v>555</v>
      </c>
      <c r="B130" s="49"/>
      <c r="C130" s="49"/>
      <c r="D130" s="49">
        <v>41.104999999999997</v>
      </c>
      <c r="E130" s="49">
        <v>246.04400000000001</v>
      </c>
      <c r="F130" s="49">
        <f>F117*F100</f>
        <v>572.05000000000007</v>
      </c>
      <c r="G130" s="49">
        <f>G117*G100</f>
        <v>1023.66</v>
      </c>
      <c r="H130" s="49">
        <f t="shared" ref="H130:N130" si="57">H117*H100</f>
        <v>1400</v>
      </c>
      <c r="I130" s="49">
        <f t="shared" si="57"/>
        <v>1785</v>
      </c>
      <c r="J130" s="49">
        <f t="shared" si="57"/>
        <v>2205</v>
      </c>
      <c r="K130" s="49">
        <f t="shared" si="57"/>
        <v>2415</v>
      </c>
      <c r="L130" s="49">
        <f t="shared" si="57"/>
        <v>2625</v>
      </c>
      <c r="M130" s="49">
        <f t="shared" si="57"/>
        <v>2835</v>
      </c>
      <c r="N130" s="49">
        <f t="shared" si="57"/>
        <v>3045</v>
      </c>
      <c r="O130" s="49"/>
      <c r="P130" s="49"/>
    </row>
    <row r="131" spans="1:49" s="343" customFormat="1" x14ac:dyDescent="0.6">
      <c r="A131" s="535" t="s">
        <v>556</v>
      </c>
      <c r="B131" s="739"/>
      <c r="C131" s="739"/>
      <c r="D131" s="739">
        <v>-14.085000000000001</v>
      </c>
      <c r="E131" s="739">
        <v>-53.966000000000001</v>
      </c>
      <c r="F131" s="739">
        <f>F118*E92</f>
        <v>-69.600000000000009</v>
      </c>
      <c r="G131" s="739">
        <f>G118*F92</f>
        <v>-98.65</v>
      </c>
      <c r="H131" s="739">
        <f t="shared" ref="H131:N131" si="58">H118*G92</f>
        <v>-185.70000000000002</v>
      </c>
      <c r="I131" s="739">
        <f t="shared" si="58"/>
        <v>-164.3</v>
      </c>
      <c r="J131" s="739">
        <f t="shared" si="58"/>
        <v>-260.7</v>
      </c>
      <c r="K131" s="739">
        <f t="shared" si="58"/>
        <v>-264.3</v>
      </c>
      <c r="L131" s="739">
        <f t="shared" si="58"/>
        <v>-310.70000000000005</v>
      </c>
      <c r="M131" s="739">
        <f t="shared" si="58"/>
        <v>-314.3</v>
      </c>
      <c r="N131" s="739">
        <f t="shared" si="58"/>
        <v>-360.70000000000005</v>
      </c>
      <c r="O131" s="739"/>
      <c r="P131" s="739"/>
      <c r="S131" s="84"/>
      <c r="T131" s="84"/>
      <c r="U131" s="84"/>
      <c r="V131" s="84"/>
      <c r="W131" s="84"/>
      <c r="X131" s="84"/>
      <c r="Y131" s="84"/>
      <c r="Z131" s="84"/>
      <c r="AA131" s="84"/>
      <c r="AB131" s="84"/>
      <c r="AC131" s="84"/>
      <c r="AD131" s="84"/>
      <c r="AE131" s="84"/>
      <c r="AF131" s="84"/>
      <c r="AG131" s="84"/>
      <c r="AH131" s="84"/>
      <c r="AI131" s="84"/>
      <c r="AJ131" s="84"/>
      <c r="AK131" s="84"/>
      <c r="AL131" s="84"/>
      <c r="AM131" s="84"/>
      <c r="AN131" s="84"/>
      <c r="AO131" s="84"/>
      <c r="AP131" s="84"/>
      <c r="AQ131" s="84"/>
      <c r="AR131" s="84"/>
      <c r="AS131" s="84"/>
      <c r="AT131" s="84"/>
      <c r="AU131" s="84"/>
      <c r="AV131" s="84"/>
      <c r="AW131" s="84"/>
    </row>
    <row r="132" spans="1:49" x14ac:dyDescent="0.6">
      <c r="A132" s="337" t="s">
        <v>1039</v>
      </c>
      <c r="B132" s="49"/>
      <c r="C132" s="49"/>
      <c r="D132" s="49">
        <f t="shared" ref="D132:N132" si="59">SUM(D130:D131)</f>
        <v>27.019999999999996</v>
      </c>
      <c r="E132" s="49">
        <f t="shared" si="59"/>
        <v>192.078</v>
      </c>
      <c r="F132" s="49">
        <f t="shared" si="59"/>
        <v>502.45000000000005</v>
      </c>
      <c r="G132" s="49">
        <f t="shared" si="59"/>
        <v>925.01</v>
      </c>
      <c r="H132" s="49">
        <f t="shared" si="59"/>
        <v>1214.3</v>
      </c>
      <c r="I132" s="49">
        <f t="shared" si="59"/>
        <v>1620.7</v>
      </c>
      <c r="J132" s="49">
        <f t="shared" si="59"/>
        <v>1944.3</v>
      </c>
      <c r="K132" s="49">
        <f t="shared" si="59"/>
        <v>2150.6999999999998</v>
      </c>
      <c r="L132" s="49">
        <f t="shared" si="59"/>
        <v>2314.3000000000002</v>
      </c>
      <c r="M132" s="49">
        <f t="shared" si="59"/>
        <v>2520.6999999999998</v>
      </c>
      <c r="N132" s="49">
        <f t="shared" si="59"/>
        <v>2684.3</v>
      </c>
      <c r="O132" s="49"/>
      <c r="P132" s="49"/>
    </row>
    <row r="133" spans="1:49" s="343" customFormat="1" x14ac:dyDescent="0.6">
      <c r="A133" s="342" t="s">
        <v>558</v>
      </c>
      <c r="B133" s="739"/>
      <c r="C133" s="739"/>
      <c r="D133" s="739">
        <v>-0.10299999999999999</v>
      </c>
      <c r="E133" s="739">
        <v>-0.54600000000000004</v>
      </c>
      <c r="F133" s="740">
        <v>0</v>
      </c>
      <c r="G133" s="740">
        <v>0</v>
      </c>
      <c r="H133" s="740">
        <v>0</v>
      </c>
      <c r="I133" s="740">
        <v>0</v>
      </c>
      <c r="J133" s="740">
        <v>0</v>
      </c>
      <c r="K133" s="740">
        <v>0</v>
      </c>
      <c r="L133" s="740">
        <v>0</v>
      </c>
      <c r="M133" s="740">
        <v>0</v>
      </c>
      <c r="N133" s="740">
        <v>0</v>
      </c>
      <c r="O133" s="739"/>
      <c r="P133" s="739"/>
      <c r="S133" s="84"/>
      <c r="T133" s="84"/>
      <c r="U133" s="84"/>
      <c r="V133" s="84"/>
      <c r="W133" s="84"/>
      <c r="X133" s="84"/>
      <c r="Y133" s="84"/>
      <c r="Z133" s="84"/>
      <c r="AA133" s="84"/>
      <c r="AB133" s="84"/>
      <c r="AC133" s="84"/>
      <c r="AD133" s="84"/>
      <c r="AE133" s="84"/>
      <c r="AF133" s="84"/>
      <c r="AG133" s="84"/>
      <c r="AH133" s="84"/>
      <c r="AI133" s="84"/>
      <c r="AJ133" s="84"/>
      <c r="AK133" s="84"/>
      <c r="AL133" s="84"/>
      <c r="AM133" s="84"/>
      <c r="AN133" s="84"/>
      <c r="AO133" s="84"/>
      <c r="AP133" s="84"/>
      <c r="AQ133" s="84"/>
      <c r="AR133" s="84"/>
      <c r="AS133" s="84"/>
      <c r="AT133" s="84"/>
      <c r="AU133" s="84"/>
      <c r="AV133" s="84"/>
      <c r="AW133" s="84"/>
    </row>
    <row r="134" spans="1:49" x14ac:dyDescent="0.6">
      <c r="A134" s="337" t="s">
        <v>1052</v>
      </c>
      <c r="B134" s="49"/>
      <c r="C134" s="49"/>
      <c r="D134" s="49">
        <f>SUM(D132:D133)</f>
        <v>26.916999999999994</v>
      </c>
      <c r="E134" s="49">
        <f>SUM(E132:E133)</f>
        <v>191.53200000000001</v>
      </c>
      <c r="F134" s="49">
        <f>SUM(F132:F133)</f>
        <v>502.45000000000005</v>
      </c>
      <c r="G134" s="49">
        <f>SUM(G132:G133)</f>
        <v>925.01</v>
      </c>
      <c r="H134" s="49">
        <f t="shared" ref="H134:N134" si="60">SUM(H132:H133)</f>
        <v>1214.3</v>
      </c>
      <c r="I134" s="49">
        <f t="shared" si="60"/>
        <v>1620.7</v>
      </c>
      <c r="J134" s="49">
        <f t="shared" si="60"/>
        <v>1944.3</v>
      </c>
      <c r="K134" s="49">
        <f t="shared" si="60"/>
        <v>2150.6999999999998</v>
      </c>
      <c r="L134" s="49">
        <f t="shared" si="60"/>
        <v>2314.3000000000002</v>
      </c>
      <c r="M134" s="49">
        <f t="shared" si="60"/>
        <v>2520.6999999999998</v>
      </c>
      <c r="N134" s="49">
        <f t="shared" si="60"/>
        <v>2684.3</v>
      </c>
      <c r="O134" s="49"/>
      <c r="P134" s="49"/>
    </row>
    <row r="136" spans="1:49" x14ac:dyDescent="0.6">
      <c r="A136" s="337" t="s">
        <v>353</v>
      </c>
      <c r="D136" s="49">
        <f>-(D134+D127)</f>
        <v>-169.48500000000004</v>
      </c>
      <c r="E136" s="49">
        <f>-(E134+E127)</f>
        <v>-480.63900000000001</v>
      </c>
      <c r="F136" s="49">
        <f>F84</f>
        <v>-1405</v>
      </c>
      <c r="G136" s="49">
        <f>G84</f>
        <v>-2285</v>
      </c>
      <c r="H136" s="49">
        <f t="shared" ref="H136:N136" si="61">-(H134+H127)</f>
        <v>-3397.7659999999996</v>
      </c>
      <c r="I136" s="49">
        <f t="shared" si="61"/>
        <v>-4216.4800000000005</v>
      </c>
      <c r="J136" s="49">
        <f t="shared" si="61"/>
        <v>-5153.5</v>
      </c>
      <c r="K136" s="49">
        <f t="shared" si="61"/>
        <v>-5584.42</v>
      </c>
      <c r="L136" s="49">
        <f t="shared" si="61"/>
        <v>-5883.5</v>
      </c>
      <c r="M136" s="49">
        <f t="shared" si="61"/>
        <v>-6314.42</v>
      </c>
      <c r="N136" s="49">
        <f t="shared" si="61"/>
        <v>-6613.5000000000009</v>
      </c>
    </row>
    <row r="137" spans="1:49" x14ac:dyDescent="0.6">
      <c r="A137" s="1185" t="s">
        <v>2101</v>
      </c>
      <c r="F137" s="43">
        <f>-F136-F134-F127</f>
        <v>-129.27999999999997</v>
      </c>
      <c r="G137" s="43">
        <f>-G136-G134-G127</f>
        <v>-595.79</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385EC-0970-4333-86CF-688611E12722}">
  <dimension ref="B1:AV466"/>
  <sheetViews>
    <sheetView showGridLines="0" zoomScale="66" zoomScaleNormal="80" workbookViewId="0">
      <selection activeCell="L30" sqref="L30"/>
    </sheetView>
  </sheetViews>
  <sheetFormatPr defaultColWidth="8.69921875" defaultRowHeight="12.9" outlineLevelCol="1" x14ac:dyDescent="0.5"/>
  <cols>
    <col min="1" max="1" width="8.69921875" style="79"/>
    <col min="2" max="2" width="34.09765625" style="79" customWidth="1"/>
    <col min="3" max="7" width="8.69921875" style="79" hidden="1" customWidth="1" outlineLevel="1"/>
    <col min="8" max="8" width="11.046875" style="79" customWidth="1" outlineLevel="1"/>
    <col min="9" max="14" width="7.94921875" style="79" customWidth="1"/>
    <col min="15" max="16" width="7.94921875" style="79" hidden="1" customWidth="1" outlineLevel="1"/>
    <col min="17" max="17" width="7.94921875" style="79" customWidth="1" collapsed="1"/>
    <col min="18" max="18" width="7.94921875" style="79" customWidth="1"/>
    <col min="19" max="23" width="7.94921875" style="79" customWidth="1" outlineLevel="1"/>
    <col min="24" max="24" width="7.94921875" style="79" customWidth="1"/>
    <col min="25" max="39" width="7.296875" style="79" customWidth="1"/>
    <col min="40" max="16384" width="8.69921875" style="79"/>
  </cols>
  <sheetData>
    <row r="1" spans="2:46" ht="13.2" thickBot="1" x14ac:dyDescent="0.55000000000000004"/>
    <row r="2" spans="2:46" ht="14.1" x14ac:dyDescent="0.5">
      <c r="B2" s="552"/>
      <c r="C2" s="552"/>
      <c r="D2" s="552"/>
      <c r="E2" s="552"/>
      <c r="F2" s="901"/>
      <c r="M2" s="1264" t="s">
        <v>553</v>
      </c>
      <c r="N2" s="1226" t="s">
        <v>553</v>
      </c>
      <c r="O2" s="1226"/>
      <c r="Q2" s="1264" t="s">
        <v>669</v>
      </c>
      <c r="R2" s="1226" t="s">
        <v>669</v>
      </c>
      <c r="S2" s="901" t="str">
        <f>J3</f>
        <v>Q4 23</v>
      </c>
      <c r="T2" s="901" t="str">
        <f>K3</f>
        <v>Q1 24</v>
      </c>
      <c r="U2" s="901" t="str">
        <f>L3</f>
        <v>Q2 24</v>
      </c>
    </row>
    <row r="3" spans="2:46" ht="14.4" thickBot="1" x14ac:dyDescent="0.55000000000000004">
      <c r="B3" s="902" t="s">
        <v>697</v>
      </c>
      <c r="C3" s="903" t="s">
        <v>867</v>
      </c>
      <c r="D3" s="903" t="s">
        <v>1007</v>
      </c>
      <c r="E3" s="903" t="s">
        <v>1008</v>
      </c>
      <c r="F3" s="903" t="s">
        <v>1009</v>
      </c>
      <c r="G3" s="903" t="s">
        <v>1014</v>
      </c>
      <c r="H3" s="903" t="s">
        <v>1015</v>
      </c>
      <c r="I3" s="903" t="s">
        <v>1016</v>
      </c>
      <c r="J3" s="903" t="s">
        <v>1017</v>
      </c>
      <c r="K3" s="903" t="s">
        <v>2107</v>
      </c>
      <c r="L3" s="903" t="s">
        <v>2303</v>
      </c>
      <c r="M3" s="1265" t="s">
        <v>2293</v>
      </c>
      <c r="N3" s="1266" t="s">
        <v>2294</v>
      </c>
      <c r="O3" s="1227"/>
      <c r="P3" s="903" t="s">
        <v>671</v>
      </c>
      <c r="Q3" s="1265" t="s">
        <v>2293</v>
      </c>
      <c r="R3" s="1266" t="s">
        <v>2294</v>
      </c>
      <c r="S3" s="903" t="s">
        <v>673</v>
      </c>
      <c r="T3" s="903" t="s">
        <v>673</v>
      </c>
      <c r="U3" s="903" t="s">
        <v>673</v>
      </c>
    </row>
    <row r="4" spans="2:46" ht="14.1" x14ac:dyDescent="0.5">
      <c r="B4" s="1191" t="s">
        <v>133</v>
      </c>
      <c r="C4" s="1192">
        <f>Quarts!M6</f>
        <v>877.26700000000005</v>
      </c>
      <c r="D4" s="1192">
        <f>Quarts!N6</f>
        <v>1157.5610000000001</v>
      </c>
      <c r="E4" s="1192">
        <f>Quarts!O6</f>
        <v>1306.9000000000001</v>
      </c>
      <c r="F4" s="1192">
        <f>Quarts!P6</f>
        <v>1450.2719999999999</v>
      </c>
      <c r="G4" s="1192">
        <f>Quarts!R6</f>
        <v>1618.454</v>
      </c>
      <c r="H4" s="1192">
        <f>Quarts!S6</f>
        <v>1868.6</v>
      </c>
      <c r="I4" s="1192">
        <f>Quarts!T6</f>
        <v>2136.7579999999998</v>
      </c>
      <c r="J4" s="1192">
        <f>Quarts!U6</f>
        <v>2409.9</v>
      </c>
      <c r="K4" s="1192">
        <f>Quarts!W6</f>
        <v>2736</v>
      </c>
      <c r="L4" s="1192">
        <f>Quarts!X6</f>
        <v>2848.7000000000003</v>
      </c>
      <c r="M4" s="1267">
        <f>Quarts!Y6</f>
        <v>3122.4253605540871</v>
      </c>
      <c r="N4" s="1229">
        <f>Quarts!Z6</f>
        <v>3250.5354506640438</v>
      </c>
      <c r="O4" s="1193"/>
      <c r="P4" s="1194" t="e">
        <f>L4/O4-1</f>
        <v>#DIV/0!</v>
      </c>
      <c r="Q4" s="1197">
        <f>Q6+Q7</f>
        <v>3000.4120692193951</v>
      </c>
      <c r="R4" s="1197">
        <f>R6+R7</f>
        <v>3307.412032329893</v>
      </c>
      <c r="S4" s="1194">
        <f>J4/F4-1</f>
        <v>0.66168829019659769</v>
      </c>
      <c r="T4" s="1194">
        <f>K4/G4-1</f>
        <v>0.69050217058995811</v>
      </c>
      <c r="U4" s="1194">
        <f>L4/H4-1</f>
        <v>0.5245103285882482</v>
      </c>
    </row>
    <row r="5" spans="2:46" ht="14.1" x14ac:dyDescent="0.5">
      <c r="B5" s="904" t="s">
        <v>704</v>
      </c>
      <c r="C5" s="905"/>
      <c r="D5" s="905"/>
      <c r="E5" s="905"/>
      <c r="F5" s="905"/>
      <c r="G5" s="905"/>
      <c r="H5" s="905"/>
      <c r="I5" s="905"/>
      <c r="J5" s="905"/>
      <c r="K5" s="905"/>
      <c r="L5" s="905"/>
      <c r="M5" s="1268"/>
      <c r="N5" s="1228"/>
      <c r="O5" s="1052"/>
      <c r="P5" s="1048"/>
      <c r="Q5" s="1052"/>
      <c r="R5" s="1052"/>
      <c r="S5" s="1048"/>
      <c r="T5" s="1048"/>
      <c r="U5" s="1048"/>
    </row>
    <row r="6" spans="2:46" ht="14.1" x14ac:dyDescent="0.5">
      <c r="B6" s="1195" t="s">
        <v>414</v>
      </c>
      <c r="C6" s="1196">
        <f>Quarts!M7</f>
        <v>619.44299999999998</v>
      </c>
      <c r="D6" s="1196">
        <f>Quarts!N7</f>
        <v>853.01300000000003</v>
      </c>
      <c r="E6" s="1196">
        <f>Quarts!O7</f>
        <v>987.3</v>
      </c>
      <c r="F6" s="1196">
        <f>Quarts!P7</f>
        <v>1095.2439999999999</v>
      </c>
      <c r="G6" s="1196">
        <f>Quarts!R7</f>
        <v>1255.454</v>
      </c>
      <c r="H6" s="1196">
        <f>Quarts!S7</f>
        <v>1500.2</v>
      </c>
      <c r="I6" s="1196">
        <f>Quarts!T7</f>
        <v>1732.6990000000001</v>
      </c>
      <c r="J6" s="1196">
        <f>Quarts!U7</f>
        <v>1951</v>
      </c>
      <c r="K6" s="1196">
        <f>Quarts!W7</f>
        <v>2280</v>
      </c>
      <c r="L6" s="1196">
        <f>Quarts!X7</f>
        <v>2383.3000000000002</v>
      </c>
      <c r="M6" s="1267">
        <f>Quarts!Y7</f>
        <v>2622.4253605540871</v>
      </c>
      <c r="N6" s="1229">
        <f>Quarts!Z7</f>
        <v>2817.4757471126354</v>
      </c>
      <c r="O6" s="1197"/>
      <c r="P6" s="1198" t="e">
        <f>L6/O6-1</f>
        <v>#DIV/0!</v>
      </c>
      <c r="Q6" s="1197" cm="1">
        <f t="array" ref="Q6">_xll.VAData("NU_BR", "3QFY-2024", "Interest income", "Consensus", "CD", "IMPL","","")</f>
        <v>2498.4349075947948</v>
      </c>
      <c r="R6" s="1197" cm="1">
        <f t="array" ref="R6">_xll.VAData("NU_BR", "4QFY-2024", "Interest income", "Consensus", "CD", "IMPL","","")</f>
        <v>2755.264824772391</v>
      </c>
      <c r="S6" s="1198">
        <f t="shared" ref="S6:U7" si="0">J6/F6-1</f>
        <v>0.78133822235045347</v>
      </c>
      <c r="T6" s="1198">
        <f t="shared" si="0"/>
        <v>0.81607609677455328</v>
      </c>
      <c r="U6" s="1198">
        <f t="shared" si="0"/>
        <v>0.58865484602053075</v>
      </c>
    </row>
    <row r="7" spans="2:46" ht="14.1" x14ac:dyDescent="0.5">
      <c r="B7" s="906" t="s">
        <v>415</v>
      </c>
      <c r="C7" s="907">
        <f>Quarts!M14</f>
        <v>257.82400000000001</v>
      </c>
      <c r="D7" s="907">
        <f>Quarts!N14</f>
        <v>304.548</v>
      </c>
      <c r="E7" s="907">
        <f>Quarts!O14</f>
        <v>319.60000000000002</v>
      </c>
      <c r="F7" s="907">
        <f>Quarts!P14</f>
        <v>355.02799999999991</v>
      </c>
      <c r="G7" s="907">
        <f>Quarts!R14</f>
        <v>363</v>
      </c>
      <c r="H7" s="907">
        <f>Quarts!S14</f>
        <v>368.4</v>
      </c>
      <c r="I7" s="907">
        <f>Quarts!T14</f>
        <v>404</v>
      </c>
      <c r="J7" s="907">
        <f>Quarts!U14</f>
        <v>453</v>
      </c>
      <c r="K7" s="907">
        <f>Quarts!W14</f>
        <v>456</v>
      </c>
      <c r="L7" s="907">
        <f>Quarts!X14</f>
        <v>465.4</v>
      </c>
      <c r="M7" s="1269">
        <f>Quarts!Y14</f>
        <v>500</v>
      </c>
      <c r="N7" s="1222">
        <f>Quarts!Z14</f>
        <v>433.05970355140846</v>
      </c>
      <c r="O7" s="1053"/>
      <c r="P7" s="1049" t="e">
        <f>L7/O7-1</f>
        <v>#DIV/0!</v>
      </c>
      <c r="Q7" s="1053" cm="1">
        <f t="array" ref="Q7">_xll.VAData("NU_BR", "3QFY-2024", "Fee and commission income", "Consensus", "CD", "IMPL","","")</f>
        <v>501.97716162460023</v>
      </c>
      <c r="R7" s="1053" cm="1">
        <f t="array" ref="R7">_xll.VAData("NU_BR", "4QFY-2024", "Fee and commission income", "Consensus", "CD", "IMPL","","")</f>
        <v>552.14720755750182</v>
      </c>
      <c r="S7" s="1049">
        <f t="shared" si="0"/>
        <v>0.27595569926879038</v>
      </c>
      <c r="T7" s="1049">
        <f t="shared" si="0"/>
        <v>0.25619834710743805</v>
      </c>
      <c r="U7" s="1049">
        <f t="shared" si="0"/>
        <v>0.26330076004343117</v>
      </c>
      <c r="AB7" s="843" t="s">
        <v>687</v>
      </c>
      <c r="AC7" s="845" t="s">
        <v>688</v>
      </c>
      <c r="AD7" s="845" t="s">
        <v>689</v>
      </c>
      <c r="AE7" s="845" t="s">
        <v>690</v>
      </c>
      <c r="AF7" s="845" t="s">
        <v>691</v>
      </c>
      <c r="AG7" s="845" t="s">
        <v>692</v>
      </c>
      <c r="AH7" s="845" t="s">
        <v>693</v>
      </c>
      <c r="AI7" s="845" t="s">
        <v>560</v>
      </c>
      <c r="AJ7" s="845" t="s">
        <v>672</v>
      </c>
      <c r="AK7" s="845" t="s">
        <v>374</v>
      </c>
      <c r="AL7" s="845" t="s">
        <v>375</v>
      </c>
      <c r="AM7" s="845" t="s">
        <v>376</v>
      </c>
      <c r="AN7" s="845" t="s">
        <v>670</v>
      </c>
      <c r="AO7" s="845" t="s">
        <v>867</v>
      </c>
      <c r="AP7" s="845" t="s">
        <v>1007</v>
      </c>
      <c r="AQ7" s="1086" t="s">
        <v>1008</v>
      </c>
      <c r="AR7" s="1086" t="s">
        <v>1009</v>
      </c>
      <c r="AS7" s="1086" t="s">
        <v>1014</v>
      </c>
      <c r="AT7" s="1086" t="s">
        <v>1015</v>
      </c>
    </row>
    <row r="8" spans="2:46" ht="14.1" x14ac:dyDescent="0.5">
      <c r="B8" s="1195"/>
      <c r="C8" s="1199"/>
      <c r="D8" s="1199"/>
      <c r="E8" s="1199"/>
      <c r="F8" s="1199"/>
      <c r="G8" s="1199"/>
      <c r="H8" s="1199"/>
      <c r="I8" s="1199"/>
      <c r="J8" s="1199"/>
      <c r="K8" s="1199"/>
      <c r="L8" s="1199"/>
      <c r="M8" s="1270"/>
      <c r="N8" s="1230"/>
      <c r="O8" s="1200"/>
      <c r="P8" s="1201"/>
      <c r="Q8" s="1200"/>
      <c r="R8" s="1200"/>
      <c r="S8" s="1201"/>
      <c r="T8" s="1201"/>
      <c r="U8" s="1201"/>
      <c r="AB8" s="847" t="s">
        <v>314</v>
      </c>
      <c r="AC8" s="848">
        <v>4.3201090150533139E-2</v>
      </c>
      <c r="AD8" s="848">
        <v>4.3577729255219425E-2</v>
      </c>
      <c r="AE8" s="848">
        <v>4.3211265637336592E-2</v>
      </c>
      <c r="AF8" s="848">
        <v>4.3525548931304676E-2</v>
      </c>
      <c r="AG8" s="848">
        <v>4.6234808150470326E-2</v>
      </c>
      <c r="AH8" s="848">
        <v>4.2217449893564331E-2</v>
      </c>
      <c r="AI8" s="848">
        <v>3.4746255460900988E-2</v>
      </c>
      <c r="AJ8" s="848">
        <v>2.847545112132031E-2</v>
      </c>
      <c r="AK8" s="848">
        <v>2.5874554431976494E-2</v>
      </c>
      <c r="AL8" s="848">
        <v>2.8190000725692634E-2</v>
      </c>
      <c r="AM8" s="848">
        <v>2.842553172693282E-2</v>
      </c>
      <c r="AN8" s="848">
        <v>2.842553172693282E-2</v>
      </c>
      <c r="AO8" s="848">
        <v>3.3000000000000002E-2</v>
      </c>
      <c r="AP8" s="848">
        <v>3.8745027931325456E-2</v>
      </c>
      <c r="AQ8" s="1085">
        <v>3.9935733007072323E-2</v>
      </c>
      <c r="AR8" s="848">
        <v>4.4035058258035567E-2</v>
      </c>
      <c r="AS8" s="848">
        <v>4.6662962679196812E-2</v>
      </c>
      <c r="AT8" s="848">
        <v>4.9425852547570676E-2</v>
      </c>
    </row>
    <row r="9" spans="2:46" ht="14.1" x14ac:dyDescent="0.5">
      <c r="B9" s="908" t="str">
        <f>Quarts!B25</f>
        <v>Interest and other financial expenses</v>
      </c>
      <c r="C9" s="909">
        <f>Quarts!M25</f>
        <v>-273.00299999999999</v>
      </c>
      <c r="D9" s="909">
        <f>Quarts!N25</f>
        <v>-407.5</v>
      </c>
      <c r="E9" s="909">
        <f>Quarts!O25</f>
        <v>-459.9</v>
      </c>
      <c r="F9" s="909">
        <f>Quarts!P25</f>
        <v>-406.59700000000009</v>
      </c>
      <c r="G9" s="909">
        <f>Quarts!R25</f>
        <v>-440.12099999999998</v>
      </c>
      <c r="H9" s="909">
        <f>Quarts!S25</f>
        <v>-453.4</v>
      </c>
      <c r="I9" s="909">
        <f>Quarts!T25</f>
        <v>-537.649</v>
      </c>
      <c r="J9" s="909">
        <f>Quarts!U25</f>
        <v>-604.82999999999981</v>
      </c>
      <c r="K9" s="909">
        <f>Quarts!W25</f>
        <v>-660</v>
      </c>
      <c r="L9" s="909">
        <f>Quarts!X25</f>
        <v>-665</v>
      </c>
      <c r="M9" s="1271">
        <f>Quarts!Y25</f>
        <v>-724.15774999999996</v>
      </c>
      <c r="N9" s="1231">
        <f>Quarts!Z25</f>
        <v>-795.26271008817685</v>
      </c>
      <c r="O9" s="1054"/>
      <c r="P9" s="1050" t="e">
        <f>L9/O9-1</f>
        <v>#DIV/0!</v>
      </c>
      <c r="Q9" s="1054" cm="1">
        <f t="array" ref="Q9">-_xll.VAData("NU_BR", "3QFY-2024", "Total non-interest expenses", "Consensus", "CD", "IMPL","","")</f>
        <v>-722.55560408026645</v>
      </c>
      <c r="R9" s="1054" cm="1">
        <f t="array" ref="R9">-_xll.VAData("NU_BR", "4QFY-2024", "Total non-interest expenses", "Consensus", "CD", "IMPL","","")</f>
        <v>-785.75889978597877</v>
      </c>
      <c r="S9" s="1050">
        <f t="shared" ref="S9:U10" si="1">J9/F9-1</f>
        <v>0.48754171821238157</v>
      </c>
      <c r="T9" s="1050">
        <f t="shared" si="1"/>
        <v>0.4995876134063133</v>
      </c>
      <c r="U9" s="1050">
        <f t="shared" si="1"/>
        <v>0.46669607410674918</v>
      </c>
      <c r="AB9" s="844" t="s">
        <v>132</v>
      </c>
      <c r="AC9" s="849"/>
      <c r="AD9" s="849"/>
      <c r="AE9" s="849"/>
      <c r="AF9" s="849"/>
      <c r="AG9" s="849"/>
      <c r="AH9" s="849"/>
      <c r="AI9" s="849"/>
      <c r="AJ9" s="849"/>
      <c r="AK9" s="849"/>
      <c r="AL9" s="849"/>
      <c r="AM9" s="849">
        <v>3.2000000000000001E-2</v>
      </c>
      <c r="AN9" s="849">
        <v>3.1E-2</v>
      </c>
      <c r="AO9" s="849">
        <v>3.5000000000000003E-2</v>
      </c>
      <c r="AP9" s="849">
        <v>4.1000000000000002E-2</v>
      </c>
      <c r="AQ9" s="849">
        <v>4.7E-2</v>
      </c>
      <c r="AR9" s="849">
        <f>J98</f>
        <v>5.1999999999999998E-2</v>
      </c>
      <c r="AS9" s="849">
        <f>K98</f>
        <v>5.5E-2</v>
      </c>
      <c r="AT9" s="849">
        <f>L98</f>
        <v>5.8999999999999997E-2</v>
      </c>
    </row>
    <row r="10" spans="2:46" ht="14.1" x14ac:dyDescent="0.5">
      <c r="B10" s="1202" t="s">
        <v>1241</v>
      </c>
      <c r="C10" s="1203">
        <f>Quarts!M63</f>
        <v>346.44</v>
      </c>
      <c r="D10" s="1203">
        <f>Quarts!N63</f>
        <v>445.51300000000003</v>
      </c>
      <c r="E10" s="1203">
        <f>Quarts!O63</f>
        <v>527.4</v>
      </c>
      <c r="F10" s="1203">
        <f>Quarts!P63</f>
        <v>688.64699999999982</v>
      </c>
      <c r="G10" s="1203">
        <f>Quarts!R63</f>
        <v>815.33299999999997</v>
      </c>
      <c r="H10" s="1203">
        <f>Quarts!S63</f>
        <v>1046.8000000000002</v>
      </c>
      <c r="I10" s="1203">
        <f>Quarts!T63</f>
        <v>1195.0500000000002</v>
      </c>
      <c r="J10" s="1203">
        <f>Quarts!U63</f>
        <v>1346.17</v>
      </c>
      <c r="K10" s="1203">
        <f>Quarts!W63</f>
        <v>1620</v>
      </c>
      <c r="L10" s="1203">
        <f>Quarts!X63</f>
        <v>1718.3000000000002</v>
      </c>
      <c r="M10" s="1272">
        <f>Quarts!Y63</f>
        <v>1898.2676105540872</v>
      </c>
      <c r="N10" s="1232">
        <f>Quarts!Z63</f>
        <v>2022.2130370244586</v>
      </c>
      <c r="O10" s="1204"/>
      <c r="P10" s="1205" t="e">
        <f>L10/O10-1</f>
        <v>#DIV/0!</v>
      </c>
      <c r="Q10" s="1204">
        <f>Q6+Q9</f>
        <v>1775.8793035145284</v>
      </c>
      <c r="R10" s="1204">
        <f>R6+R9</f>
        <v>1969.5059249864121</v>
      </c>
      <c r="S10" s="1205">
        <f t="shared" si="1"/>
        <v>0.95480413041805234</v>
      </c>
      <c r="T10" s="1205">
        <f t="shared" si="1"/>
        <v>0.98691822850295541</v>
      </c>
      <c r="U10" s="1205">
        <f t="shared" si="1"/>
        <v>0.6414787925105081</v>
      </c>
      <c r="AB10" s="846" t="s">
        <v>694</v>
      </c>
      <c r="AC10" s="850"/>
      <c r="AD10" s="850"/>
      <c r="AE10" s="850"/>
      <c r="AF10" s="850">
        <v>5.8999999999999997E-2</v>
      </c>
      <c r="AG10" s="850">
        <v>5.7000000000000002E-2</v>
      </c>
      <c r="AH10" s="850">
        <v>7.0000000000000007E-2</v>
      </c>
      <c r="AI10" s="850">
        <v>6.7000000000000004E-2</v>
      </c>
      <c r="AJ10" s="850">
        <v>5.5E-2</v>
      </c>
      <c r="AK10" s="850">
        <v>0.05</v>
      </c>
      <c r="AL10" s="850">
        <v>5.3999999999999999E-2</v>
      </c>
      <c r="AM10" s="850">
        <v>5.8000000000000003E-2</v>
      </c>
      <c r="AN10" s="850">
        <v>6.3E-2</v>
      </c>
      <c r="AO10" s="850">
        <v>6.8000000000000005E-2</v>
      </c>
      <c r="AP10" s="850">
        <v>6.7000000000000004E-2</v>
      </c>
      <c r="AQ10" s="850">
        <v>6.8378363248561586E-2</v>
      </c>
      <c r="AR10" s="850">
        <v>7.0999999999999994E-2</v>
      </c>
      <c r="AS10" s="850">
        <v>7.1999999999999995E-2</v>
      </c>
      <c r="AT10" s="850">
        <v>0.08</v>
      </c>
    </row>
    <row r="11" spans="2:46" ht="14.1" x14ac:dyDescent="0.5">
      <c r="B11" s="902"/>
      <c r="C11" s="910"/>
      <c r="D11" s="910"/>
      <c r="E11" s="910"/>
      <c r="F11" s="910"/>
      <c r="G11" s="910"/>
      <c r="H11" s="910"/>
      <c r="I11" s="910"/>
      <c r="J11" s="910"/>
      <c r="K11" s="910"/>
      <c r="L11" s="910"/>
      <c r="M11" s="1273"/>
      <c r="N11" s="1233"/>
      <c r="O11" s="1055"/>
      <c r="P11" s="1051"/>
      <c r="Q11" s="1055"/>
      <c r="R11" s="1055"/>
      <c r="S11" s="1051"/>
      <c r="T11" s="1051"/>
      <c r="U11" s="1051"/>
      <c r="AB11" s="844" t="s">
        <v>487</v>
      </c>
      <c r="AC11" s="849">
        <v>3.6799999999999999E-2</v>
      </c>
      <c r="AD11" s="849">
        <v>3.4500000000000003E-2</v>
      </c>
      <c r="AE11" s="849">
        <v>3.4299999999999997E-2</v>
      </c>
      <c r="AF11" s="849">
        <v>3.3500000000000002E-2</v>
      </c>
      <c r="AG11" s="849">
        <v>3.5200000000000002E-2</v>
      </c>
      <c r="AH11" s="849">
        <v>3.2099999999999997E-2</v>
      </c>
      <c r="AI11" s="849">
        <v>2.6200000000000001E-2</v>
      </c>
      <c r="AJ11" s="849">
        <v>2.69E-2</v>
      </c>
      <c r="AK11" s="849">
        <v>2.69E-2</v>
      </c>
      <c r="AL11" s="849">
        <v>2.6700000000000002E-2</v>
      </c>
      <c r="AM11" s="849">
        <v>2.81E-2</v>
      </c>
      <c r="AN11" s="849">
        <v>2.75E-2</v>
      </c>
      <c r="AO11" s="849">
        <v>2.93E-2</v>
      </c>
      <c r="AP11" s="849">
        <v>3.04E-2</v>
      </c>
      <c r="AQ11" s="851">
        <v>3.2399999999999998E-2</v>
      </c>
      <c r="AR11" s="849">
        <v>3.4200000000000001E-2</v>
      </c>
      <c r="AS11" s="849">
        <v>3.39E-2</v>
      </c>
      <c r="AT11" s="849">
        <v>3.5000000000000003E-2</v>
      </c>
    </row>
    <row r="12" spans="2:46" ht="14.1" x14ac:dyDescent="0.5">
      <c r="B12" s="1195" t="str">
        <f>Quarts!B36</f>
        <v xml:space="preserve">Transactional expenses </v>
      </c>
      <c r="C12" s="1199">
        <f>Quarts!M36</f>
        <v>-34.448</v>
      </c>
      <c r="D12" s="1199">
        <f>Quarts!N36</f>
        <v>-48.036000000000001</v>
      </c>
      <c r="E12" s="1199">
        <f>Quarts!O36</f>
        <v>-44.5</v>
      </c>
      <c r="F12" s="1199">
        <f>Quarts!P36</f>
        <v>-49.015999999999991</v>
      </c>
      <c r="G12" s="1199">
        <f>Quarts!R36</f>
        <v>-52</v>
      </c>
      <c r="H12" s="1199">
        <f>Quarts!S36</f>
        <v>-42.8</v>
      </c>
      <c r="I12" s="1199">
        <f>Quarts!T36</f>
        <v>-57</v>
      </c>
      <c r="J12" s="1199">
        <f>Quarts!U36</f>
        <v>-64</v>
      </c>
      <c r="K12" s="1199">
        <f>Quarts!W36</f>
        <v>-63</v>
      </c>
      <c r="L12" s="1199">
        <f>Quarts!X36</f>
        <v>-64</v>
      </c>
      <c r="M12" s="1270">
        <f>Quarts!Y36</f>
        <v>-70</v>
      </c>
      <c r="N12" s="1230">
        <f>Quarts!Z36</f>
        <v>-71.75</v>
      </c>
      <c r="O12" s="1200"/>
      <c r="P12" s="1201" t="e">
        <f>L12/O12-1</f>
        <v>#DIV/0!</v>
      </c>
      <c r="Q12" s="1200" cm="1">
        <f t="array" ref="Q12">-_xll.VAData("NU_BR", "3QFY-2024", "Transactional expenses", "Consensus", "CD", "IMPL","","")</f>
        <v>-72.859556798964164</v>
      </c>
      <c r="R12" s="1200" cm="1">
        <f t="array" ref="R12">-_xll.VAData("NU_BR", "4QFY-2024", "Transactional expenses", "Consensus", "CD", "IMPL","","")</f>
        <v>-81.937880394423061</v>
      </c>
      <c r="S12" s="1201">
        <f t="shared" ref="S12:U14" si="2">J12/F12-1</f>
        <v>0.30569609923290386</v>
      </c>
      <c r="T12" s="1201">
        <f t="shared" si="2"/>
        <v>0.21153846153846145</v>
      </c>
      <c r="U12" s="1201">
        <f t="shared" si="2"/>
        <v>0.49532710280373848</v>
      </c>
      <c r="AB12" s="1075" t="s">
        <v>695</v>
      </c>
      <c r="AC12" s="1076">
        <v>3.3000000000000002E-2</v>
      </c>
      <c r="AD12" s="1076">
        <v>3.2000000000000001E-2</v>
      </c>
      <c r="AE12" s="1076">
        <v>3.6000000000000004E-2</v>
      </c>
      <c r="AF12" s="1076">
        <v>3.3000000000000002E-2</v>
      </c>
      <c r="AG12" s="1076">
        <v>3.7000000000000005E-2</v>
      </c>
      <c r="AH12" s="1076">
        <v>3.0101457066860279E-2</v>
      </c>
      <c r="AI12" s="1076">
        <v>2.3E-2</v>
      </c>
      <c r="AJ12" s="1076">
        <v>2.2000000000000002E-2</v>
      </c>
      <c r="AK12" s="1076">
        <v>2.5000000000000001E-2</v>
      </c>
      <c r="AL12" s="1076">
        <v>2.5000000000000001E-2</v>
      </c>
      <c r="AM12" s="1076">
        <v>2.6000000000000002E-2</v>
      </c>
      <c r="AN12" s="1076">
        <v>2.7999999999999997E-2</v>
      </c>
      <c r="AO12" s="1076">
        <v>3.2099999999999997E-2</v>
      </c>
      <c r="AP12" s="1076">
        <v>3.5000000000000003E-2</v>
      </c>
      <c r="AQ12" s="1077">
        <v>3.9E-2</v>
      </c>
      <c r="AR12" s="1077">
        <v>4.2999999999999997E-2</v>
      </c>
      <c r="AS12" s="1077">
        <v>5.0999999999999997E-2</v>
      </c>
      <c r="AT12" s="1077">
        <v>5.8999999999999997E-2</v>
      </c>
    </row>
    <row r="13" spans="2:46" ht="14.1" x14ac:dyDescent="0.5">
      <c r="B13" s="908" t="str">
        <f>Quarts!B38</f>
        <v>Credit loss allowance expenses</v>
      </c>
      <c r="C13" s="909">
        <f>Quarts!M38</f>
        <v>-275.72199999999998</v>
      </c>
      <c r="D13" s="909">
        <f>Quarts!N38</f>
        <v>-338.49200000000002</v>
      </c>
      <c r="E13" s="909">
        <f>Quarts!O38</f>
        <v>-375.5</v>
      </c>
      <c r="F13" s="909">
        <f>Quarts!P38</f>
        <v>-415.18600000000015</v>
      </c>
      <c r="G13" s="909">
        <f>Quarts!R38</f>
        <v>-474</v>
      </c>
      <c r="H13" s="909">
        <f>Quarts!S38</f>
        <v>-590.4</v>
      </c>
      <c r="I13" s="909">
        <f>Quarts!T38</f>
        <v>-627</v>
      </c>
      <c r="J13" s="909">
        <f>Quarts!U38</f>
        <v>-593</v>
      </c>
      <c r="K13" s="909">
        <f>Quarts!W38</f>
        <v>-831</v>
      </c>
      <c r="L13" s="909">
        <f>Quarts!X38</f>
        <v>-760</v>
      </c>
      <c r="M13" s="1271">
        <f>Quarts!Y38</f>
        <v>-874.27910095514449</v>
      </c>
      <c r="N13" s="1231">
        <f>Quarts!Z38</f>
        <v>-932.48689904485514</v>
      </c>
      <c r="O13" s="1054"/>
      <c r="P13" s="1050" t="e">
        <f>L13/O13-1</f>
        <v>#DIV/0!</v>
      </c>
      <c r="Q13" s="1054" cm="1">
        <f t="array" ref="Q13">-_xll.VAData("NU_BR", "3QFY-2024", "Provision for loan losses", "Consensus", "CD", "IMPL","","")</f>
        <v>-831.40670767187044</v>
      </c>
      <c r="R13" s="1054" cm="1">
        <f t="array" ref="R13">-_xll.VAData("NU_BR", "4QFY-2024", "Provision for loan losses", "Consensus", "CD", "IMPL","","")</f>
        <v>-931.85391837160785</v>
      </c>
      <c r="S13" s="1050">
        <f t="shared" si="2"/>
        <v>0.4282755198874717</v>
      </c>
      <c r="T13" s="1050">
        <f t="shared" si="2"/>
        <v>0.75316455696202533</v>
      </c>
      <c r="U13" s="1050">
        <f t="shared" si="2"/>
        <v>0.2872628726287263</v>
      </c>
      <c r="AB13" s="1073" t="s">
        <v>696</v>
      </c>
      <c r="AC13" s="1074">
        <v>0.03</v>
      </c>
      <c r="AD13" s="1074">
        <v>0.03</v>
      </c>
      <c r="AE13" s="1074">
        <v>2.9000000000000001E-2</v>
      </c>
      <c r="AF13" s="1074">
        <v>2.9000000000000001E-2</v>
      </c>
      <c r="AG13" s="1074">
        <v>3.2000000000000001E-2</v>
      </c>
      <c r="AH13" s="1074">
        <v>3.2000000000000001E-2</v>
      </c>
      <c r="AI13" s="1074">
        <v>2.9000000000000001E-2</v>
      </c>
      <c r="AJ13" s="1074">
        <v>2.4E-2</v>
      </c>
      <c r="AK13" s="1074">
        <v>2.1000000000000001E-2</v>
      </c>
      <c r="AL13" s="1074">
        <v>2.3E-2</v>
      </c>
      <c r="AM13" s="1074">
        <v>2.3E-2</v>
      </c>
      <c r="AN13" s="1074">
        <v>2.3E-2</v>
      </c>
      <c r="AO13" s="1074">
        <v>2.5999999999999999E-2</v>
      </c>
      <c r="AP13" s="1074">
        <v>2.7E-2</v>
      </c>
      <c r="AQ13" s="1074">
        <v>2.8000000000000001E-2</v>
      </c>
      <c r="AR13" s="1074">
        <v>0.03</v>
      </c>
      <c r="AS13" s="1074">
        <v>3.3000000000000002E-2</v>
      </c>
      <c r="AT13" s="1074">
        <v>3.5999999999999997E-2</v>
      </c>
    </row>
    <row r="14" spans="2:46" ht="14.1" x14ac:dyDescent="0.5">
      <c r="B14" s="1202" t="s">
        <v>1242</v>
      </c>
      <c r="C14" s="1206">
        <f>Quarts!M59</f>
        <v>294.09400000000005</v>
      </c>
      <c r="D14" s="1206">
        <f>Quarts!N59</f>
        <v>363.53300000000013</v>
      </c>
      <c r="E14" s="1206">
        <f>Quarts!O59</f>
        <v>427.00000000000011</v>
      </c>
      <c r="F14" s="1206">
        <f>Quarts!P59</f>
        <v>579.47299999999973</v>
      </c>
      <c r="G14" s="1206">
        <f>Quarts!R59</f>
        <v>652.33299999999997</v>
      </c>
      <c r="H14" s="1206">
        <f>Quarts!S59</f>
        <v>782</v>
      </c>
      <c r="I14" s="1206">
        <f>Quarts!T59</f>
        <v>915.10899999999992</v>
      </c>
      <c r="J14" s="1206">
        <f>Quarts!U59</f>
        <v>1143.2</v>
      </c>
      <c r="K14" s="1206">
        <f>Quarts!W59</f>
        <v>1182</v>
      </c>
      <c r="L14" s="1206">
        <f>Quarts!X59</f>
        <v>1359.7000000000003</v>
      </c>
      <c r="M14" s="1274">
        <f>Quarts!Y59</f>
        <v>1453.9885095989425</v>
      </c>
      <c r="N14" s="1234">
        <f>Quarts!Z59</f>
        <v>1451.0358415310118</v>
      </c>
      <c r="O14" s="1207"/>
      <c r="P14" s="1208" t="e">
        <f>L14/O14-1</f>
        <v>#DIV/0!</v>
      </c>
      <c r="Q14" s="1207">
        <f>Q4+Q9+Q12+Q13</f>
        <v>1373.5902006682943</v>
      </c>
      <c r="R14" s="1207">
        <f>R4+R9+R12+R13</f>
        <v>1507.8613337778829</v>
      </c>
      <c r="S14" s="1208">
        <f t="shared" si="2"/>
        <v>0.97282703421902417</v>
      </c>
      <c r="T14" s="1208">
        <f t="shared" si="2"/>
        <v>0.81195800304445753</v>
      </c>
      <c r="U14" s="1208">
        <f t="shared" si="2"/>
        <v>0.73874680306905405</v>
      </c>
    </row>
    <row r="15" spans="2:46" ht="14.1" x14ac:dyDescent="0.5">
      <c r="B15" s="906" t="s">
        <v>371</v>
      </c>
      <c r="C15" s="911">
        <f t="shared" ref="C15:H15" si="3">C14/C4</f>
        <v>0.33523887254393481</v>
      </c>
      <c r="D15" s="911">
        <f t="shared" si="3"/>
        <v>0.31405083619783325</v>
      </c>
      <c r="E15" s="911">
        <f t="shared" si="3"/>
        <v>0.32672737011247999</v>
      </c>
      <c r="F15" s="911">
        <f t="shared" si="3"/>
        <v>0.39956159947926995</v>
      </c>
      <c r="G15" s="911">
        <f t="shared" si="3"/>
        <v>0.40305933934483157</v>
      </c>
      <c r="H15" s="911">
        <f t="shared" si="3"/>
        <v>0.41849513004388317</v>
      </c>
      <c r="I15" s="911">
        <f t="shared" ref="I15:J15" si="4">I14/I4</f>
        <v>0.42826983682756775</v>
      </c>
      <c r="J15" s="911">
        <f t="shared" si="4"/>
        <v>0.47437653014647913</v>
      </c>
      <c r="K15" s="911">
        <f t="shared" ref="K15" si="5">K14/K4</f>
        <v>0.43201754385964913</v>
      </c>
      <c r="L15" s="911">
        <f t="shared" ref="L15:M15" si="6">L14/L4</f>
        <v>0.47730543756801352</v>
      </c>
      <c r="M15" s="1275">
        <f t="shared" si="6"/>
        <v>0.46565997316295382</v>
      </c>
      <c r="N15" s="1235">
        <f>N14/N4</f>
        <v>0.44639902057815839</v>
      </c>
      <c r="O15" s="1056"/>
      <c r="P15" s="911"/>
      <c r="Q15" s="1056">
        <f>Q14/Q4</f>
        <v>0.45780051838868108</v>
      </c>
      <c r="R15" s="1056">
        <f>R14/R4</f>
        <v>0.45590368512860374</v>
      </c>
      <c r="S15" s="911"/>
      <c r="T15" s="911"/>
      <c r="U15" s="911"/>
    </row>
    <row r="16" spans="2:46" ht="14.1" x14ac:dyDescent="0.5">
      <c r="B16" s="1209" t="s">
        <v>1733</v>
      </c>
      <c r="C16" s="1210"/>
      <c r="D16" s="1210"/>
      <c r="E16" s="1210"/>
      <c r="F16" s="1210"/>
      <c r="G16" s="1210"/>
      <c r="H16" s="1210"/>
      <c r="I16" s="1210">
        <f>Quarts!T83</f>
        <v>-502</v>
      </c>
      <c r="J16" s="1210">
        <f>Quarts!U83</f>
        <v>-584</v>
      </c>
      <c r="K16" s="1210">
        <f>Quarts!W83</f>
        <v>-602.9</v>
      </c>
      <c r="L16" s="1210">
        <f>Quarts!X83</f>
        <v>-632.70000000000005</v>
      </c>
      <c r="M16" s="1276">
        <f>Quarts!Y83</f>
        <v>-660</v>
      </c>
      <c r="N16" s="1223">
        <f>Quarts!Z83</f>
        <v>-697.82546254446129</v>
      </c>
      <c r="O16" s="1211"/>
      <c r="P16" s="1201" t="e">
        <f t="shared" ref="P16:P23" si="7">L16/O16-1</f>
        <v>#DIV/0!</v>
      </c>
      <c r="Q16" s="1211">
        <f>Q17-Q14</f>
        <v>-609.08038168981386</v>
      </c>
      <c r="R16" s="1211">
        <f>R17-R14</f>
        <v>-660.91181984874606</v>
      </c>
      <c r="S16" s="1212"/>
      <c r="T16" s="1212"/>
      <c r="U16" s="1212"/>
    </row>
    <row r="17" spans="2:48" ht="14.1" x14ac:dyDescent="0.5">
      <c r="B17" s="906" t="s">
        <v>476</v>
      </c>
      <c r="C17" s="907"/>
      <c r="D17" s="907"/>
      <c r="E17" s="907"/>
      <c r="F17" s="907"/>
      <c r="G17" s="907"/>
      <c r="H17" s="907"/>
      <c r="I17" s="907">
        <f t="shared" ref="I17:K17" si="8">I14+I16</f>
        <v>413.10899999999992</v>
      </c>
      <c r="J17" s="907">
        <f t="shared" si="8"/>
        <v>559.20000000000005</v>
      </c>
      <c r="K17" s="907">
        <f t="shared" si="8"/>
        <v>579.1</v>
      </c>
      <c r="L17" s="907">
        <f t="shared" ref="L17:M17" si="9">L14+L16</f>
        <v>727.00000000000023</v>
      </c>
      <c r="M17" s="1269">
        <f t="shared" si="9"/>
        <v>793.98850959894253</v>
      </c>
      <c r="N17" s="1222">
        <f>N14+N16</f>
        <v>753.2103789865505</v>
      </c>
      <c r="O17" s="1053"/>
      <c r="P17" s="1049" t="e">
        <f t="shared" si="7"/>
        <v>#DIV/0!</v>
      </c>
      <c r="Q17" s="1053" cm="1">
        <f t="array" ref="Q17">_xll.VAData("NU_BR", "3QFY-2024", "Income/(loss) before income taxes", "Consensus", "CD", "IMPL","","")</f>
        <v>764.50981897848044</v>
      </c>
      <c r="R17" s="1053" cm="1">
        <f t="array" ref="R17">_xll.VAData("NU_BR", "4QFY-2024", "Income/(loss) before income taxes", "Consensus", "CD", "IMPL","","")</f>
        <v>846.94951392913686</v>
      </c>
      <c r="S17" s="1049"/>
      <c r="T17" s="1049"/>
      <c r="U17" s="1049"/>
    </row>
    <row r="18" spans="2:48" ht="14.1" x14ac:dyDescent="0.5">
      <c r="B18" s="1218" t="s">
        <v>2299</v>
      </c>
      <c r="C18" s="1219"/>
      <c r="D18" s="1219"/>
      <c r="E18" s="1219"/>
      <c r="F18" s="1219"/>
      <c r="G18" s="1219"/>
      <c r="H18" s="1219"/>
      <c r="I18" s="1219">
        <f>Quarts!T96</f>
        <v>-108</v>
      </c>
      <c r="J18" s="1219">
        <f>Quarts!U96</f>
        <v>-198</v>
      </c>
      <c r="K18" s="1219">
        <f>Quarts!W96</f>
        <v>-200</v>
      </c>
      <c r="L18" s="1219">
        <f>Quarts!X96</f>
        <v>-238</v>
      </c>
      <c r="M18" s="1277">
        <f>Quarts!Y96</f>
        <v>-250</v>
      </c>
      <c r="N18" s="1241">
        <f>Quarts!Z96</f>
        <v>-223.97933315129603</v>
      </c>
      <c r="O18" s="1242"/>
      <c r="P18" s="1220" t="e">
        <f t="shared" si="7"/>
        <v>#DIV/0!</v>
      </c>
      <c r="Q18" s="1242">
        <f>Q19-Q17</f>
        <v>-246.42744951886732</v>
      </c>
      <c r="R18" s="1242">
        <f>R19-R17</f>
        <v>-285.00473237712629</v>
      </c>
      <c r="S18" s="1220"/>
      <c r="T18" s="1220"/>
      <c r="U18" s="1220"/>
    </row>
    <row r="19" spans="2:48" ht="14.1" x14ac:dyDescent="0.5">
      <c r="B19" s="906" t="s">
        <v>702</v>
      </c>
      <c r="C19" s="907">
        <f>Quarts!M99</f>
        <v>-45.003999999999976</v>
      </c>
      <c r="D19" s="907">
        <f>Quarts!N99</f>
        <v>-29.849999999999852</v>
      </c>
      <c r="E19" s="907">
        <f>Quarts!O99</f>
        <v>7.8260000000000787</v>
      </c>
      <c r="F19" s="907">
        <f>Quarts!P99</f>
        <v>-296.87200000000013</v>
      </c>
      <c r="G19" s="907">
        <f>Quarts!R99</f>
        <v>143.33299999999997</v>
      </c>
      <c r="H19" s="907">
        <f>Quarts!S99</f>
        <v>224</v>
      </c>
      <c r="I19" s="907">
        <f>Quarts!T99</f>
        <v>305.10899999999992</v>
      </c>
      <c r="J19" s="907">
        <f>Quarts!U99</f>
        <v>361.20000000000005</v>
      </c>
      <c r="K19" s="907">
        <f>Quarts!W99</f>
        <v>379.1</v>
      </c>
      <c r="L19" s="907">
        <f>Quarts!X99</f>
        <v>489.00000000000023</v>
      </c>
      <c r="M19" s="1269">
        <f>Quarts!Y99</f>
        <v>543.98850959894253</v>
      </c>
      <c r="N19" s="1222">
        <f>Quarts!Z99</f>
        <v>529.23104583525446</v>
      </c>
      <c r="O19" s="1053"/>
      <c r="P19" s="1049" t="e">
        <f t="shared" si="7"/>
        <v>#DIV/0!</v>
      </c>
      <c r="Q19" s="1053" cm="1">
        <f t="array" ref="Q19">_xll.VAData("NU_BR", "3QFY-2024", "Income/(Loss) from Continuing Operations", "Consensus", "CD", "IMPL","","")</f>
        <v>518.08236945961312</v>
      </c>
      <c r="R19" s="1053" cm="1">
        <f t="array" ref="R19">_xll.VAData("NU_BR", "4QFY-2024", "Income/(Loss) from Continuing Operations", "Consensus", "CD", "IMPL","","")</f>
        <v>561.94478155201057</v>
      </c>
      <c r="S19" s="1049"/>
      <c r="T19" s="1049"/>
      <c r="U19" s="1049"/>
    </row>
    <row r="20" spans="2:48" ht="14.1" x14ac:dyDescent="0.5">
      <c r="B20" s="1209" t="s">
        <v>371</v>
      </c>
      <c r="C20" s="1213">
        <f>Quarts!M100</f>
        <v>-5.1300231286484019E-2</v>
      </c>
      <c r="D20" s="1213">
        <f>Quarts!N100</f>
        <v>-2.5786977964876018E-2</v>
      </c>
      <c r="E20" s="1213">
        <f>Quarts!O100</f>
        <v>5.9882163899304293E-3</v>
      </c>
      <c r="F20" s="1213">
        <f>Quarts!P100</f>
        <v>-0.20470091127733289</v>
      </c>
      <c r="G20" s="1213">
        <f>Quarts!R100</f>
        <v>8.8561676760661706E-2</v>
      </c>
      <c r="H20" s="1213">
        <f>Quarts!S100</f>
        <v>0.11987584287702023</v>
      </c>
      <c r="I20" s="1213">
        <f>Quarts!T100</f>
        <v>0.14279062018253819</v>
      </c>
      <c r="J20" s="1213">
        <f>Quarts!U100</f>
        <v>0.14988173783144529</v>
      </c>
      <c r="K20" s="1213">
        <f>Quarts!W100</f>
        <v>0.13855994152046786</v>
      </c>
      <c r="L20" s="1213">
        <f>Quarts!X100</f>
        <v>0.17165724716537376</v>
      </c>
      <c r="M20" s="1278">
        <f>Quarts!Y100</f>
        <v>0.17421986013539473</v>
      </c>
      <c r="N20" s="1236">
        <f>Quarts!Z100</f>
        <v>0.1628134976122593</v>
      </c>
      <c r="O20" s="1214"/>
      <c r="P20" s="1213" t="e">
        <f t="shared" si="7"/>
        <v>#DIV/0!</v>
      </c>
      <c r="Q20" s="1214">
        <f>Q19/Q4</f>
        <v>0.1726704057667654</v>
      </c>
      <c r="R20" s="1214">
        <f>R19/R4</f>
        <v>0.16990467956789493</v>
      </c>
      <c r="S20" s="1213"/>
      <c r="T20" s="1213"/>
      <c r="U20" s="1213"/>
    </row>
    <row r="21" spans="2:48" ht="14.1" x14ac:dyDescent="0.5">
      <c r="B21" s="906" t="s">
        <v>1248</v>
      </c>
      <c r="C21" s="907">
        <f t="shared" ref="C21:H21" si="10">C22-C19</f>
        <v>55.103999999999978</v>
      </c>
      <c r="D21" s="907">
        <f t="shared" si="10"/>
        <v>46.849999999999852</v>
      </c>
      <c r="E21" s="907">
        <f t="shared" si="10"/>
        <v>65.173999999999921</v>
      </c>
      <c r="F21" s="907">
        <f t="shared" si="10"/>
        <v>410.87200000000013</v>
      </c>
      <c r="G21" s="907">
        <f t="shared" si="10"/>
        <v>38.66700000000003</v>
      </c>
      <c r="H21" s="907">
        <f t="shared" si="10"/>
        <v>38.699999999999989</v>
      </c>
      <c r="I21" s="907">
        <f t="shared" ref="I21:J21" si="11">I22-I19</f>
        <v>50.491000000000099</v>
      </c>
      <c r="J21" s="907">
        <f t="shared" si="11"/>
        <v>34.599999999999966</v>
      </c>
      <c r="K21" s="907">
        <f t="shared" ref="K21" si="12">K22-K19</f>
        <v>63.599999999999966</v>
      </c>
      <c r="L21" s="907">
        <f t="shared" ref="L21:M21" si="13">L22-L19</f>
        <v>73.499999999999773</v>
      </c>
      <c r="M21" s="1269">
        <f t="shared" si="13"/>
        <v>60</v>
      </c>
      <c r="N21" s="1222">
        <f>N22-N19</f>
        <v>48.150000000000318</v>
      </c>
      <c r="O21" s="1053"/>
      <c r="P21" s="1049" t="e">
        <f t="shared" si="7"/>
        <v>#DIV/0!</v>
      </c>
      <c r="Q21" s="1053">
        <f>Q22-Q19</f>
        <v>66.336572754403164</v>
      </c>
      <c r="R21" s="1053">
        <f>R22-R19</f>
        <v>70.197876997421645</v>
      </c>
      <c r="S21" s="1049">
        <f t="shared" ref="S21:U22" si="14">J21/F21-1</f>
        <v>-0.91578885881734473</v>
      </c>
      <c r="T21" s="1049">
        <f t="shared" si="14"/>
        <v>0.64481340678097387</v>
      </c>
      <c r="U21" s="1049">
        <f t="shared" si="14"/>
        <v>0.8992248062015451</v>
      </c>
    </row>
    <row r="22" spans="2:48" ht="14.1" x14ac:dyDescent="0.5">
      <c r="B22" s="1202" t="s">
        <v>1156</v>
      </c>
      <c r="C22" s="1203">
        <f>Quarts!M104</f>
        <v>10.1</v>
      </c>
      <c r="D22" s="1203">
        <f>Quarts!N104</f>
        <v>17</v>
      </c>
      <c r="E22" s="1203">
        <f>Quarts!O104</f>
        <v>73</v>
      </c>
      <c r="F22" s="1203">
        <f>Quarts!P104</f>
        <v>114</v>
      </c>
      <c r="G22" s="1203">
        <f>Quarts!R104</f>
        <v>182</v>
      </c>
      <c r="H22" s="1203">
        <f>Quarts!S104</f>
        <v>262.7</v>
      </c>
      <c r="I22" s="1203">
        <f>Quarts!T104</f>
        <v>355.6</v>
      </c>
      <c r="J22" s="1203">
        <f>Quarts!U104</f>
        <v>395.8</v>
      </c>
      <c r="K22" s="1203">
        <f>Quarts!W104</f>
        <v>442.7</v>
      </c>
      <c r="L22" s="1203">
        <f>Quarts!X104</f>
        <v>562.5</v>
      </c>
      <c r="M22" s="1272">
        <f>Quarts!Y104</f>
        <v>603.98850959894253</v>
      </c>
      <c r="N22" s="1232">
        <f>Quarts!Z104</f>
        <v>577.38104583525478</v>
      </c>
      <c r="O22" s="1204"/>
      <c r="P22" s="1205" t="e">
        <f t="shared" si="7"/>
        <v>#DIV/0!</v>
      </c>
      <c r="Q22" s="1204" cm="1">
        <f t="array" ref="Q22">_xll.VAData("NU_BR", "3QFY-2024", "Net income/(loss) - Operating", "Consensus", "CD", "","","")</f>
        <v>584.41894221401628</v>
      </c>
      <c r="R22" s="1204" cm="1">
        <f t="array" ref="R22">_xll.VAData("NU_BR", "4QFY-2024", "Net income/(loss) - Operating", "Consensus", "CD", "","","")</f>
        <v>632.14265854943221</v>
      </c>
      <c r="S22" s="1205">
        <f t="shared" si="14"/>
        <v>2.4719298245614034</v>
      </c>
      <c r="T22" s="1205">
        <f t="shared" si="14"/>
        <v>1.4324175824175822</v>
      </c>
      <c r="U22" s="1205">
        <f t="shared" si="14"/>
        <v>1.1412257327750286</v>
      </c>
    </row>
    <row r="23" spans="2:48" ht="14.1" x14ac:dyDescent="0.5">
      <c r="B23" s="906" t="s">
        <v>1439</v>
      </c>
      <c r="C23" s="934">
        <f t="shared" ref="C23:K23" si="15">C22/C4</f>
        <v>1.1513028530652582E-2</v>
      </c>
      <c r="D23" s="934">
        <f t="shared" si="15"/>
        <v>1.4686051102274522E-2</v>
      </c>
      <c r="E23" s="934">
        <f t="shared" si="15"/>
        <v>5.5857372407988368E-2</v>
      </c>
      <c r="F23" s="934">
        <f t="shared" si="15"/>
        <v>7.860594426424837E-2</v>
      </c>
      <c r="G23" s="934">
        <f t="shared" si="15"/>
        <v>0.11245299526585248</v>
      </c>
      <c r="H23" s="934">
        <f t="shared" si="15"/>
        <v>0.14058653537407684</v>
      </c>
      <c r="I23" s="934">
        <f t="shared" si="15"/>
        <v>0.16642034334257788</v>
      </c>
      <c r="J23" s="934">
        <f t="shared" si="15"/>
        <v>0.16423918004896468</v>
      </c>
      <c r="K23" s="934">
        <f t="shared" si="15"/>
        <v>0.16180555555555556</v>
      </c>
      <c r="L23" s="934">
        <f t="shared" ref="L23:M23" si="16">L22/L4</f>
        <v>0.19745848983746969</v>
      </c>
      <c r="M23" s="1279">
        <f t="shared" si="16"/>
        <v>0.19343569176358544</v>
      </c>
      <c r="N23" s="1237">
        <f>N22/N4</f>
        <v>0.17762644173510031</v>
      </c>
      <c r="O23" s="1057"/>
      <c r="P23" s="1049" t="e">
        <f t="shared" si="7"/>
        <v>#DIV/0!</v>
      </c>
      <c r="Q23" s="1057">
        <f t="shared" ref="Q23:R23" si="17">Q22/Q4</f>
        <v>0.19477955985094481</v>
      </c>
      <c r="R23" s="1057">
        <f t="shared" si="17"/>
        <v>0.19112909198196326</v>
      </c>
      <c r="S23" s="1049">
        <f>J23-F23</f>
        <v>8.5633235784716308E-2</v>
      </c>
      <c r="T23" s="1049">
        <f>K23-G23</f>
        <v>4.9352560289703085E-2</v>
      </c>
      <c r="U23" s="1049">
        <f>L23-H23</f>
        <v>5.6871954463392854E-2</v>
      </c>
    </row>
    <row r="24" spans="2:48" ht="14.1" x14ac:dyDescent="0.5">
      <c r="B24" s="1209"/>
      <c r="C24" s="1215"/>
      <c r="D24" s="1215"/>
      <c r="E24" s="1215"/>
      <c r="F24" s="1215"/>
      <c r="G24" s="1215"/>
      <c r="H24" s="1215"/>
      <c r="I24" s="1215"/>
      <c r="J24" s="1215"/>
      <c r="K24" s="1215"/>
      <c r="L24" s="1215"/>
      <c r="M24" s="1280"/>
      <c r="N24" s="1238"/>
      <c r="O24" s="1216"/>
      <c r="P24" s="1215"/>
      <c r="Q24" s="1216"/>
      <c r="R24" s="1216"/>
      <c r="S24" s="1215"/>
      <c r="T24" s="1215"/>
      <c r="U24" s="1215"/>
    </row>
    <row r="25" spans="2:48" ht="14.1" x14ac:dyDescent="0.5">
      <c r="B25" s="906" t="s">
        <v>2298</v>
      </c>
      <c r="C25" s="934"/>
      <c r="D25" s="934"/>
      <c r="E25" s="934"/>
      <c r="F25" s="934"/>
      <c r="G25" s="934"/>
      <c r="H25" s="934"/>
      <c r="I25" s="934">
        <f>Quarts!T18</f>
        <v>0.45760698768148589</v>
      </c>
      <c r="J25" s="934">
        <f>J6*4/AVERAGE(I29,J29)</f>
        <v>0.4636754215010998</v>
      </c>
      <c r="K25" s="934">
        <f>K6*4/AVERAGE(J29,K29)</f>
        <v>0.48258181269793399</v>
      </c>
      <c r="L25" s="934">
        <f>L6*4/AVERAGE(K29,L29)</f>
        <v>0.49466392421843325</v>
      </c>
      <c r="M25" s="1279">
        <f>M6*4/AVERAGE(L29,M29)</f>
        <v>0.52680284230541508</v>
      </c>
      <c r="N25" s="1237">
        <f>N6*4/AVERAGE(M29,N29)</f>
        <v>0.52072799198782704</v>
      </c>
      <c r="O25" s="1057"/>
      <c r="P25" s="934"/>
      <c r="Q25" s="1057">
        <f>Q6*4/AVERAGE(L29,Q29)</f>
        <v>0.49595588031965521</v>
      </c>
      <c r="R25" s="1057">
        <f>R6*4/AVERAGE(Q29,R29)</f>
        <v>0.48485983524192028</v>
      </c>
      <c r="S25" s="934"/>
      <c r="T25" s="934"/>
      <c r="U25" s="934"/>
    </row>
    <row r="26" spans="2:48" ht="14.1" x14ac:dyDescent="0.5">
      <c r="B26" s="1209" t="s">
        <v>2297</v>
      </c>
      <c r="C26" s="1215"/>
      <c r="D26" s="1215"/>
      <c r="E26" s="1215"/>
      <c r="F26" s="1215"/>
      <c r="G26" s="1215"/>
      <c r="H26" s="1215"/>
      <c r="I26" s="1215">
        <f>Quarts!T29</f>
        <v>0.11577594142822535</v>
      </c>
      <c r="J26" s="1215">
        <f>-J9*4/AVERAGE(I28,J28)</f>
        <v>0.11303120911979066</v>
      </c>
      <c r="K26" s="1215">
        <f>-K9*4/AVERAGE(J28,K28)</f>
        <v>0.11012618625508395</v>
      </c>
      <c r="L26" s="1215">
        <f>-L9*4/AVERAGE(K28,L28)</f>
        <v>0.1075116706747772</v>
      </c>
      <c r="M26" s="1280">
        <f>-M9*4/AVERAGE(L28,M28)</f>
        <v>0.1093935193927263</v>
      </c>
      <c r="N26" s="1238">
        <f>-N9*4/AVERAGE(M28,N28)</f>
        <v>0.11004296167581516</v>
      </c>
      <c r="O26" s="1216"/>
      <c r="P26" s="1215"/>
      <c r="Q26" s="1216">
        <f>-Q9*4/AVERAGE(M28,Q28)</f>
        <v>0.10458350687060164</v>
      </c>
      <c r="R26" s="1216">
        <f>-R9*4/AVERAGE(Q28,R28)</f>
        <v>0.10709879512821911</v>
      </c>
      <c r="S26" s="1215"/>
      <c r="T26" s="1215"/>
      <c r="U26" s="1215"/>
    </row>
    <row r="27" spans="2:48" ht="14.1" x14ac:dyDescent="0.5">
      <c r="B27" s="906"/>
      <c r="C27" s="934"/>
      <c r="D27" s="934"/>
      <c r="E27" s="934"/>
      <c r="F27" s="934"/>
      <c r="G27" s="934"/>
      <c r="H27" s="934"/>
      <c r="I27" s="934"/>
      <c r="J27" s="934"/>
      <c r="K27" s="934"/>
      <c r="L27" s="934"/>
      <c r="M27" s="1279"/>
      <c r="N27" s="1237"/>
      <c r="O27" s="1057"/>
      <c r="P27" s="934"/>
      <c r="Q27" s="1057"/>
      <c r="R27" s="1057"/>
      <c r="S27" s="934"/>
      <c r="T27" s="934"/>
      <c r="U27" s="934"/>
    </row>
    <row r="28" spans="2:48" ht="14.1" x14ac:dyDescent="0.5">
      <c r="B28" s="1209" t="s">
        <v>1244</v>
      </c>
      <c r="C28" s="1210">
        <f>Quarts!M224</f>
        <v>12596</v>
      </c>
      <c r="D28" s="1210">
        <f>Quarts!N224</f>
        <v>13293</v>
      </c>
      <c r="E28" s="1210">
        <f>Quarts!O224</f>
        <v>14040</v>
      </c>
      <c r="F28" s="1210">
        <f>Quarts!P224</f>
        <v>15808</v>
      </c>
      <c r="G28" s="1210">
        <f>Quarts!R224</f>
        <v>15757</v>
      </c>
      <c r="H28" s="1210">
        <f>Quarts!S224</f>
        <v>18034</v>
      </c>
      <c r="I28" s="1210">
        <f>Quarts!T224</f>
        <v>19117</v>
      </c>
      <c r="J28" s="1210">
        <f>Quarts!U224</f>
        <v>23691</v>
      </c>
      <c r="K28" s="1210">
        <f>Quarts!W224</f>
        <v>24254</v>
      </c>
      <c r="L28" s="1210">
        <f>Quarts!X224</f>
        <v>25229</v>
      </c>
      <c r="M28" s="1276">
        <f>Quarts!Y224</f>
        <v>27729</v>
      </c>
      <c r="N28" s="1223">
        <f>Quarts!Z224</f>
        <v>30085.70785426574</v>
      </c>
      <c r="O28" s="1211"/>
      <c r="P28" s="1212" t="e">
        <f>L28/O28-1</f>
        <v>#DIV/0!</v>
      </c>
      <c r="Q28" s="1211" cm="1">
        <f t="array" ref="Q28">_xll.VAData("NU_BR", "3QFY-2024", "Total deposits", "Consensus", "CD", "IMPL","","")</f>
        <v>27542.093938302532</v>
      </c>
      <c r="R28" s="1211" cm="1">
        <f t="array" ref="R28">_xll.VAData("NU_BR", "4QFY-2024", "Total deposits", "Consensus", "CD", "IMPL","","")</f>
        <v>31152.041609740943</v>
      </c>
      <c r="S28" s="1212">
        <f>J28/F28-1</f>
        <v>0.49867155870445345</v>
      </c>
      <c r="T28" s="1212">
        <f>K28/G28-1</f>
        <v>0.53925239576061434</v>
      </c>
      <c r="U28" s="1212">
        <f>L28/H28-1</f>
        <v>0.39896861483863821</v>
      </c>
      <c r="AR28" s="1247">
        <v>0.1</v>
      </c>
    </row>
    <row r="29" spans="2:48" ht="14.1" x14ac:dyDescent="0.5">
      <c r="B29" s="906" t="s">
        <v>2295</v>
      </c>
      <c r="C29" s="907"/>
      <c r="D29" s="907"/>
      <c r="E29" s="907"/>
      <c r="F29" s="907"/>
      <c r="G29" s="907"/>
      <c r="H29" s="907"/>
      <c r="I29" s="907">
        <f>Quarts!T248</f>
        <v>15437.477999999999</v>
      </c>
      <c r="J29" s="907">
        <f>Quarts!U248</f>
        <v>18224</v>
      </c>
      <c r="K29" s="907">
        <f>Quarts!W248</f>
        <v>19572.7</v>
      </c>
      <c r="L29" s="907">
        <f>Quarts!X248</f>
        <v>18971.449000000001</v>
      </c>
      <c r="M29" s="1269">
        <f>Quarts!Y248</f>
        <v>20852.563324272625</v>
      </c>
      <c r="N29" s="1222">
        <f>Quarts!Z248</f>
        <v>22432.618812484856</v>
      </c>
      <c r="O29" s="1053"/>
      <c r="P29" s="1049"/>
      <c r="Q29" s="1053" cm="1">
        <f t="array" ref="Q29">_xll.VAData("NU_BR", "3QFY-2024", "Gross loans", "Consensus", "CD", "IMPL","","")</f>
        <v>21329.473025313942</v>
      </c>
      <c r="R29" s="1053" cm="1">
        <f t="array" ref="R29">_xll.VAData("NU_BR", "4QFY-2024", "Gross loans", "Consensus", "CD", "IMPL","","")</f>
        <v>24131.332337500316</v>
      </c>
      <c r="S29" s="1049"/>
      <c r="T29" s="1049"/>
      <c r="U29" s="1049"/>
      <c r="AO29" s="79" t="s">
        <v>136</v>
      </c>
      <c r="AP29" s="79" t="s">
        <v>2307</v>
      </c>
      <c r="AR29" s="79" t="str">
        <f>AO29</f>
        <v>NU</v>
      </c>
      <c r="AS29" s="79" t="str">
        <f>AP29</f>
        <v>Banks</v>
      </c>
      <c r="AU29" s="79" t="str">
        <f>AR29</f>
        <v>NU</v>
      </c>
      <c r="AV29" s="79" t="str">
        <f>AS29</f>
        <v>Banks</v>
      </c>
    </row>
    <row r="30" spans="2:48" ht="14.1" x14ac:dyDescent="0.5">
      <c r="B30" s="1209" t="s">
        <v>921</v>
      </c>
      <c r="C30" s="1210"/>
      <c r="D30" s="1210"/>
      <c r="E30" s="1210"/>
      <c r="F30" s="1210"/>
      <c r="G30" s="1210"/>
      <c r="H30" s="1210"/>
      <c r="I30" s="1210">
        <f t="shared" ref="I30:K30" si="18">I29-I31</f>
        <v>2252</v>
      </c>
      <c r="J30" s="1210">
        <f t="shared" si="18"/>
        <v>2608</v>
      </c>
      <c r="K30" s="1210">
        <f t="shared" si="18"/>
        <v>2912</v>
      </c>
      <c r="L30" s="1210">
        <f t="shared" ref="L30:M30" si="19">L29-L31</f>
        <v>2936.4490000000005</v>
      </c>
      <c r="M30" s="1276">
        <f t="shared" si="19"/>
        <v>3218.8087788180819</v>
      </c>
      <c r="N30" s="1223">
        <f>N29-N31</f>
        <v>3340.8574893139121</v>
      </c>
      <c r="O30" s="1211"/>
      <c r="P30" s="1212"/>
      <c r="Q30" s="1211">
        <f t="shared" ref="Q30:R30" si="20">Q29-Q31</f>
        <v>2695.4950994989413</v>
      </c>
      <c r="R30" s="1211">
        <f t="shared" si="20"/>
        <v>2999.823573402984</v>
      </c>
      <c r="S30" s="1212"/>
      <c r="T30" s="1212"/>
      <c r="U30" s="1212"/>
      <c r="AN30" s="79" t="s">
        <v>2306</v>
      </c>
      <c r="AO30" s="79">
        <v>110</v>
      </c>
      <c r="AP30" s="79">
        <v>110</v>
      </c>
      <c r="AR30" s="309">
        <f>AR28</f>
        <v>0.1</v>
      </c>
      <c r="AS30" s="309">
        <f>AR28</f>
        <v>0.1</v>
      </c>
      <c r="AU30" s="79">
        <f>AO30*AR30</f>
        <v>11</v>
      </c>
      <c r="AV30" s="79">
        <f t="shared" ref="AV30:AV31" si="21">AP30*AS30</f>
        <v>11</v>
      </c>
    </row>
    <row r="31" spans="2:48" ht="14.1" x14ac:dyDescent="0.5">
      <c r="B31" s="906" t="s">
        <v>2296</v>
      </c>
      <c r="C31" s="907">
        <f>Quarts!M218</f>
        <v>7901</v>
      </c>
      <c r="D31" s="907">
        <f>Quarts!N218</f>
        <v>8154</v>
      </c>
      <c r="E31" s="907">
        <f>Quarts!O218</f>
        <v>8591.0529999999999</v>
      </c>
      <c r="F31" s="907">
        <f>Quarts!P218</f>
        <v>9906</v>
      </c>
      <c r="G31" s="907">
        <f>Quarts!R218</f>
        <v>11178</v>
      </c>
      <c r="H31" s="907">
        <f>Quarts!S218</f>
        <v>12821</v>
      </c>
      <c r="I31" s="907">
        <f>Quarts!T218</f>
        <v>13185.477999999999</v>
      </c>
      <c r="J31" s="907">
        <f>Quarts!U218</f>
        <v>15616</v>
      </c>
      <c r="K31" s="907">
        <f>Quarts!W218</f>
        <v>16660.7</v>
      </c>
      <c r="L31" s="907">
        <f>Quarts!X218</f>
        <v>16035</v>
      </c>
      <c r="M31" s="1269">
        <f>Quarts!Y218</f>
        <v>17633.754545454543</v>
      </c>
      <c r="N31" s="1222">
        <f>Quarts!Z218</f>
        <v>19091.761323170944</v>
      </c>
      <c r="O31" s="1053"/>
      <c r="P31" s="1049" t="e">
        <f>L31/O31-1</f>
        <v>#DIV/0!</v>
      </c>
      <c r="Q31" s="1053" cm="1">
        <f t="array" ref="Q31">_xll.VAData("NU_BR", "3QFY-2024", "Net loans", "Consensus", "CD", "IMPL","","")</f>
        <v>18633.977925815001</v>
      </c>
      <c r="R31" s="1053" cm="1">
        <f t="array" ref="R31">_xll.VAData("NU_BR", "4QFY-2024", "Net loans", "Consensus", "CD", "IMPL","","")</f>
        <v>21131.508764097332</v>
      </c>
      <c r="S31" s="1049">
        <f t="shared" ref="S31:U34" si="22">J31/F31-1</f>
        <v>0.5764183323238441</v>
      </c>
      <c r="T31" s="1049">
        <f t="shared" si="22"/>
        <v>0.49049024870280911</v>
      </c>
      <c r="U31" s="1049">
        <f t="shared" si="22"/>
        <v>0.25068247406598543</v>
      </c>
      <c r="AN31" s="79" t="s">
        <v>2305</v>
      </c>
      <c r="AO31" s="81">
        <v>100</v>
      </c>
      <c r="AP31" s="81">
        <v>20</v>
      </c>
      <c r="AQ31" s="81"/>
      <c r="AR31" s="311">
        <f>AR28</f>
        <v>0.1</v>
      </c>
      <c r="AS31" s="311">
        <f>AR28</f>
        <v>0.1</v>
      </c>
      <c r="AT31" s="81"/>
      <c r="AU31" s="81">
        <f t="shared" ref="AU31" si="23">AO31*AR31</f>
        <v>10</v>
      </c>
      <c r="AV31" s="81">
        <f t="shared" si="21"/>
        <v>2</v>
      </c>
    </row>
    <row r="32" spans="2:48" ht="14.1" x14ac:dyDescent="0.5">
      <c r="B32" s="1217" t="s">
        <v>2100</v>
      </c>
      <c r="C32" s="1210">
        <f>Quarts!M233</f>
        <v>6234</v>
      </c>
      <c r="D32" s="1210">
        <f>Quarts!N233</f>
        <v>6478.47</v>
      </c>
      <c r="E32" s="1210">
        <f>Quarts!O233</f>
        <v>6987.9480000000003</v>
      </c>
      <c r="F32" s="1210">
        <f>Quarts!P233</f>
        <v>8233</v>
      </c>
      <c r="G32" s="1210">
        <f>Quarts!R233</f>
        <v>9158</v>
      </c>
      <c r="H32" s="1210">
        <f>Quarts!S233</f>
        <v>10388</v>
      </c>
      <c r="I32" s="1210">
        <f>Quarts!T233</f>
        <v>10495.5</v>
      </c>
      <c r="J32" s="1210">
        <f>Quarts!U233</f>
        <v>12414</v>
      </c>
      <c r="K32" s="1210">
        <f>Quarts!W233</f>
        <v>12796.7</v>
      </c>
      <c r="L32" s="1210">
        <f>Quarts!X233</f>
        <v>12027</v>
      </c>
      <c r="M32" s="1276">
        <f>Quarts!Y233</f>
        <v>12951.07818181818</v>
      </c>
      <c r="N32" s="1223">
        <f>Quarts!Z233</f>
        <v>13815.930217466615</v>
      </c>
      <c r="O32" s="1211"/>
      <c r="P32" s="1212" t="e">
        <f>L32/O32-1</f>
        <v>#DIV/0!</v>
      </c>
      <c r="Q32" s="1211" cm="1">
        <f t="array" ref="Q32">_xll.VAData("NU_BR", "3QFY-2024", "Credit card loans - net", "Consensus", "CD", "IMPL","","")</f>
        <v>14415.962622772544</v>
      </c>
      <c r="R32" s="1211" cm="1">
        <f t="array" ref="R32">_xll.VAData("NU_BR", "4QFY-2024", "Credit card loans - net", "Consensus", "CD", "IMPL","","")</f>
        <v>15878.389845188094</v>
      </c>
      <c r="S32" s="1212">
        <f t="shared" si="22"/>
        <v>0.50783432527632688</v>
      </c>
      <c r="T32" s="1212">
        <f t="shared" si="22"/>
        <v>0.39732474339375412</v>
      </c>
      <c r="U32" s="1212">
        <f t="shared" si="22"/>
        <v>0.15777820562187128</v>
      </c>
      <c r="AU32" s="79">
        <f>AU30-AU31</f>
        <v>1</v>
      </c>
      <c r="AV32" s="79">
        <f>AV30-AV31</f>
        <v>9</v>
      </c>
    </row>
    <row r="33" spans="2:21" ht="14.1" x14ac:dyDescent="0.5">
      <c r="B33" s="1224" t="s">
        <v>2102</v>
      </c>
      <c r="C33" s="907">
        <f>Quarts!M234</f>
        <v>1667</v>
      </c>
      <c r="D33" s="907">
        <f>Quarts!N234</f>
        <v>1675.7760000000001</v>
      </c>
      <c r="E33" s="907">
        <f>Quarts!O234</f>
        <v>1603.105</v>
      </c>
      <c r="F33" s="907">
        <f>Quarts!P234</f>
        <v>1673</v>
      </c>
      <c r="G33" s="907">
        <f>Quarts!R234</f>
        <v>2020</v>
      </c>
      <c r="H33" s="907">
        <f>Quarts!S234</f>
        <v>2433</v>
      </c>
      <c r="I33" s="907">
        <f>Quarts!T234</f>
        <v>2689.9780000000001</v>
      </c>
      <c r="J33" s="907">
        <f>Quarts!U234</f>
        <v>3202</v>
      </c>
      <c r="K33" s="907">
        <f t="shared" ref="K33" si="24">K31-K32</f>
        <v>3864</v>
      </c>
      <c r="L33" s="907">
        <f t="shared" ref="L33:M33" si="25">L31-L32</f>
        <v>4008</v>
      </c>
      <c r="M33" s="1269">
        <f t="shared" si="25"/>
        <v>4682.676363636363</v>
      </c>
      <c r="N33" s="1222">
        <f>N31-N32</f>
        <v>5275.8311057043284</v>
      </c>
      <c r="O33" s="1053"/>
      <c r="P33" s="1049" t="e">
        <f>L33/O33-1</f>
        <v>#DIV/0!</v>
      </c>
      <c r="Q33" s="1053">
        <f t="shared" ref="Q33:R33" si="26">Q31-Q32</f>
        <v>4218.0153030424572</v>
      </c>
      <c r="R33" s="1053">
        <f t="shared" si="26"/>
        <v>5253.1189189092383</v>
      </c>
      <c r="S33" s="1049">
        <f t="shared" si="22"/>
        <v>0.91392707710699339</v>
      </c>
      <c r="T33" s="1049">
        <f t="shared" si="22"/>
        <v>0.91287128712871279</v>
      </c>
      <c r="U33" s="1049">
        <f t="shared" si="22"/>
        <v>0.64734895191122077</v>
      </c>
    </row>
    <row r="34" spans="2:21" ht="14.1" x14ac:dyDescent="0.5">
      <c r="B34" s="1209" t="s">
        <v>1245</v>
      </c>
      <c r="C34" s="1210">
        <f>Quarts!M270</f>
        <v>37450.740000000005</v>
      </c>
      <c r="D34" s="1210">
        <f>Quarts!N270</f>
        <v>42891.333959999996</v>
      </c>
      <c r="E34" s="1210">
        <f>Quarts!O270</f>
        <v>46524.8475215</v>
      </c>
      <c r="F34" s="1210">
        <f>Quarts!P270</f>
        <v>52303.68</v>
      </c>
      <c r="G34" s="1210">
        <f>Quarts!R270</f>
        <v>56560.679999999993</v>
      </c>
      <c r="H34" s="1210">
        <f>Quarts!S270</f>
        <v>61412.590000000004</v>
      </c>
      <c r="I34" s="1210">
        <f>Quarts!T270</f>
        <v>66454.809119999991</v>
      </c>
      <c r="J34" s="1210">
        <f>Quarts!U270</f>
        <v>75893.760000000009</v>
      </c>
      <c r="K34" s="1210">
        <f>Quarts!W270</f>
        <v>83470.107000000004</v>
      </c>
      <c r="L34" s="1210">
        <f>Quarts!X270</f>
        <v>89635.65</v>
      </c>
      <c r="M34" s="1276">
        <f>Quarts!Y270</f>
        <v>96985.65</v>
      </c>
      <c r="N34" s="1223">
        <f>Quarts!Z270</f>
        <v>105004.68727744019</v>
      </c>
      <c r="O34" s="1211"/>
      <c r="P34" s="1212" t="e">
        <f>L34/O34-1</f>
        <v>#DIV/0!</v>
      </c>
      <c r="Q34" s="1211">
        <f>Q31*Q37</f>
        <v>105468.3150601129</v>
      </c>
      <c r="R34" s="1211">
        <f>R31*R37</f>
        <v>119604.3396047909</v>
      </c>
      <c r="S34" s="1212">
        <f t="shared" si="22"/>
        <v>0.45102141952535679</v>
      </c>
      <c r="T34" s="1212">
        <f t="shared" si="22"/>
        <v>0.47576208418993571</v>
      </c>
      <c r="U34" s="1212">
        <f t="shared" si="22"/>
        <v>0.45956472443191188</v>
      </c>
    </row>
    <row r="35" spans="2:21" ht="14.4" thickBot="1" x14ac:dyDescent="0.55000000000000004">
      <c r="B35" s="908" t="s">
        <v>1247</v>
      </c>
      <c r="C35" s="909">
        <f>Quarts!M276</f>
        <v>4133.6065020000096</v>
      </c>
      <c r="D35" s="909">
        <f>Quarts!N276</f>
        <v>5440.5939599999911</v>
      </c>
      <c r="E35" s="909">
        <f>Quarts!O276</f>
        <v>3633.5135615000036</v>
      </c>
      <c r="F35" s="909">
        <f>Quarts!P276</f>
        <v>5778.8324785000004</v>
      </c>
      <c r="G35" s="909">
        <f>Quarts!R276</f>
        <v>4256.9999999999927</v>
      </c>
      <c r="H35" s="909">
        <f>Quarts!S276</f>
        <v>4851.9100000000108</v>
      </c>
      <c r="I35" s="909">
        <f>Quarts!T276</f>
        <v>5042.219119999987</v>
      </c>
      <c r="J35" s="909">
        <f>Quarts!U276</f>
        <v>9438.9508800000185</v>
      </c>
      <c r="K35" s="909">
        <f>Quarts!W276</f>
        <v>7576.3469999999943</v>
      </c>
      <c r="L35" s="909">
        <f>Quarts!X276</f>
        <v>6165.5429999999906</v>
      </c>
      <c r="M35" s="1281">
        <f>Quarts!Y276</f>
        <v>7350</v>
      </c>
      <c r="N35" s="1239">
        <f>Quarts!Z276</f>
        <v>8019.0372774402003</v>
      </c>
      <c r="O35" s="1225"/>
      <c r="P35" s="1050" t="e">
        <f>L35/O35-1</f>
        <v>#DIV/0!</v>
      </c>
      <c r="Q35" s="1225">
        <f>Q34-L34</f>
        <v>15832.665060112908</v>
      </c>
      <c r="R35" s="1225">
        <f>R34-Q34</f>
        <v>14136.024544678003</v>
      </c>
      <c r="S35" s="1050"/>
      <c r="T35" s="1050"/>
      <c r="U35" s="1050"/>
    </row>
    <row r="36" spans="2:21" x14ac:dyDescent="0.5">
      <c r="N36" s="309"/>
    </row>
    <row r="37" spans="2:21" x14ac:dyDescent="0.5">
      <c r="B37" s="79" t="s">
        <v>1246</v>
      </c>
      <c r="C37" s="900">
        <f>Quarts!M263</f>
        <v>4.74</v>
      </c>
      <c r="D37" s="900">
        <f>Quarts!N263</f>
        <v>5.26</v>
      </c>
      <c r="E37" s="900">
        <f>Quarts!O263</f>
        <v>5.4154999999999998</v>
      </c>
      <c r="F37" s="900">
        <f>Quarts!P263</f>
        <v>5.28</v>
      </c>
      <c r="G37" s="900">
        <f>Quarts!R263</f>
        <v>5.0599999999999996</v>
      </c>
      <c r="H37" s="900">
        <f>Quarts!S263</f>
        <v>4.79</v>
      </c>
      <c r="I37" s="900">
        <f>Quarts!T263</f>
        <v>5.04</v>
      </c>
      <c r="J37" s="900">
        <f>Quarts!U263</f>
        <v>4.8600000000000003</v>
      </c>
      <c r="K37" s="900">
        <f>Quarts!W263</f>
        <v>5.01</v>
      </c>
      <c r="L37" s="900"/>
      <c r="M37" s="900">
        <f>Quarts!Y263</f>
        <v>5.5</v>
      </c>
      <c r="N37" s="900">
        <f>Quarts!Z263</f>
        <v>5.5</v>
      </c>
      <c r="O37" s="900">
        <v>5.5</v>
      </c>
      <c r="P37" s="783">
        <f>M37</f>
        <v>5.5</v>
      </c>
      <c r="Q37" s="900">
        <v>5.66</v>
      </c>
      <c r="R37" s="900">
        <v>5.66</v>
      </c>
    </row>
    <row r="39" spans="2:21" x14ac:dyDescent="0.5">
      <c r="B39" s="404"/>
      <c r="C39" s="405"/>
      <c r="D39" s="405"/>
      <c r="E39" s="496"/>
      <c r="F39" s="405"/>
      <c r="G39" s="496"/>
      <c r="H39" s="405"/>
      <c r="I39" s="405"/>
      <c r="J39" s="405"/>
      <c r="K39" s="497"/>
      <c r="L39" s="497"/>
    </row>
    <row r="40" spans="2:21" x14ac:dyDescent="0.5">
      <c r="B40" s="79" t="s">
        <v>868</v>
      </c>
      <c r="C40" s="129" t="s">
        <v>670</v>
      </c>
      <c r="D40" s="129" t="s">
        <v>867</v>
      </c>
      <c r="E40" s="129" t="s">
        <v>1007</v>
      </c>
      <c r="F40" s="129" t="s">
        <v>1008</v>
      </c>
      <c r="G40" s="129" t="s">
        <v>1009</v>
      </c>
      <c r="H40" s="129" t="s">
        <v>1014</v>
      </c>
      <c r="I40" s="129" t="s">
        <v>1015</v>
      </c>
      <c r="J40" s="129" t="s">
        <v>1016</v>
      </c>
    </row>
    <row r="41" spans="2:21" x14ac:dyDescent="0.5">
      <c r="B41" s="79" t="s">
        <v>339</v>
      </c>
      <c r="C41" s="498">
        <v>2.2400000000000002</v>
      </c>
      <c r="D41" s="498">
        <v>2.2599999999999998</v>
      </c>
      <c r="E41" s="498">
        <v>2.2999999999999998</v>
      </c>
      <c r="F41" s="498">
        <v>1.72</v>
      </c>
      <c r="G41" s="498">
        <v>1.1200000000000001</v>
      </c>
      <c r="H41" s="498">
        <v>0.87</v>
      </c>
      <c r="I41" s="498">
        <v>0.6</v>
      </c>
      <c r="J41" s="498">
        <v>0.53</v>
      </c>
    </row>
    <row r="42" spans="2:21" x14ac:dyDescent="0.5">
      <c r="B42" s="79" t="s">
        <v>869</v>
      </c>
      <c r="C42" s="498">
        <v>3.46</v>
      </c>
      <c r="D42" s="498">
        <v>3.43</v>
      </c>
      <c r="E42" s="498">
        <v>2.2000000000000002</v>
      </c>
      <c r="F42" s="498">
        <v>1.4</v>
      </c>
      <c r="G42" s="498">
        <v>0.82</v>
      </c>
      <c r="H42" s="498">
        <v>0.79</v>
      </c>
      <c r="I42" s="498">
        <v>0.8</v>
      </c>
      <c r="J42" s="498">
        <v>0.76</v>
      </c>
    </row>
    <row r="44" spans="2:21" x14ac:dyDescent="0.5">
      <c r="C44" s="129" t="str">
        <f t="shared" ref="C44:I44" si="27">C40</f>
        <v>Q4 21</v>
      </c>
      <c r="D44" s="129" t="str">
        <f t="shared" si="27"/>
        <v>Q1 22</v>
      </c>
      <c r="E44" s="129" t="str">
        <f t="shared" si="27"/>
        <v>Q2 22</v>
      </c>
      <c r="F44" s="129" t="str">
        <f t="shared" si="27"/>
        <v>Q3 22</v>
      </c>
      <c r="G44" s="129" t="str">
        <f t="shared" si="27"/>
        <v>Q4 22</v>
      </c>
      <c r="H44" s="129" t="str">
        <f t="shared" si="27"/>
        <v>Q1 23</v>
      </c>
      <c r="I44" s="129" t="str">
        <f t="shared" si="27"/>
        <v>Q2 23</v>
      </c>
      <c r="J44" s="129" t="str">
        <f t="shared" ref="J44" si="28">J40</f>
        <v>Q3 23</v>
      </c>
      <c r="K44" s="232"/>
      <c r="L44" s="232"/>
      <c r="M44" s="232"/>
      <c r="N44" s="232"/>
      <c r="O44" s="232"/>
    </row>
    <row r="45" spans="2:21" x14ac:dyDescent="0.5">
      <c r="B45" s="79" t="s">
        <v>869</v>
      </c>
      <c r="C45" s="80">
        <f>Quarts!K222</f>
        <v>11151.6</v>
      </c>
      <c r="D45" s="80">
        <f>Quarts!M222</f>
        <v>14694</v>
      </c>
      <c r="E45" s="80">
        <f>Quarts!N222</f>
        <v>16832</v>
      </c>
      <c r="F45" s="80">
        <f>Quarts!O222</f>
        <v>18954.25</v>
      </c>
      <c r="G45" s="80">
        <f>Quarts!P222</f>
        <v>21120</v>
      </c>
      <c r="H45" s="80">
        <f>Quarts!R222</f>
        <v>26311.999999999996</v>
      </c>
      <c r="I45" s="80">
        <f>Quarts!S222</f>
        <v>30177</v>
      </c>
      <c r="J45" s="80">
        <f>Quarts!T222</f>
        <v>33768</v>
      </c>
    </row>
    <row r="46" spans="2:21" x14ac:dyDescent="0.5">
      <c r="J46" s="309">
        <f>J45/I45-1</f>
        <v>0.1189979123173277</v>
      </c>
    </row>
    <row r="54" spans="2:18" x14ac:dyDescent="0.5">
      <c r="C54" s="779" t="s">
        <v>374</v>
      </c>
      <c r="D54" s="779" t="s">
        <v>375</v>
      </c>
      <c r="E54" s="779" t="s">
        <v>376</v>
      </c>
      <c r="F54" s="779" t="s">
        <v>670</v>
      </c>
      <c r="G54" s="779" t="s">
        <v>867</v>
      </c>
      <c r="H54" s="779" t="s">
        <v>1007</v>
      </c>
      <c r="I54" s="779" t="s">
        <v>1008</v>
      </c>
      <c r="J54" s="779" t="s">
        <v>1009</v>
      </c>
      <c r="K54" s="779" t="s">
        <v>1014</v>
      </c>
      <c r="L54" s="779"/>
      <c r="M54" s="779" t="s">
        <v>1015</v>
      </c>
      <c r="N54" s="779" t="s">
        <v>1016</v>
      </c>
      <c r="O54" s="780" t="s">
        <v>1028</v>
      </c>
      <c r="P54" s="780" t="s">
        <v>1029</v>
      </c>
      <c r="Q54" s="780" t="s">
        <v>1030</v>
      </c>
      <c r="R54" s="780" t="s">
        <v>1031</v>
      </c>
    </row>
    <row r="55" spans="2:18" ht="14.4" x14ac:dyDescent="0.55000000000000004">
      <c r="B55" s="424" t="s">
        <v>1157</v>
      </c>
      <c r="C55" s="372">
        <f>Quarts!H18</f>
        <v>0.15386009971294756</v>
      </c>
      <c r="D55" s="372">
        <f>Quarts!I18</f>
        <v>0.18540987716219604</v>
      </c>
      <c r="E55" s="372">
        <f>Quarts!J18</f>
        <v>0.2371859296482412</v>
      </c>
      <c r="F55" s="372">
        <f>Quarts!K18</f>
        <v>0.29712388118661293</v>
      </c>
      <c r="G55" s="372">
        <f>Quarts!M18</f>
        <v>0.28086574005694231</v>
      </c>
      <c r="H55" s="372">
        <f>Quarts!N18</f>
        <v>0.38030472845212815</v>
      </c>
      <c r="I55" s="372">
        <f>Quarts!O18</f>
        <v>0.41926065975164017</v>
      </c>
      <c r="J55" s="372">
        <f>Quarts!P18</f>
        <v>0.41775288813434647</v>
      </c>
      <c r="K55" s="372">
        <f>Quarts!R18</f>
        <v>0.41731964931233639</v>
      </c>
      <c r="L55" s="372"/>
      <c r="M55" s="372">
        <f>Quarts!S18</f>
        <v>0.43383458646616541</v>
      </c>
      <c r="N55" s="372">
        <f>Quarts!T18</f>
        <v>0.45760698768148589</v>
      </c>
      <c r="O55" s="372" t="e">
        <f>Quarts!#REF!</f>
        <v>#REF!</v>
      </c>
      <c r="P55" s="372" t="e">
        <f>Quarts!#REF!</f>
        <v>#REF!</v>
      </c>
      <c r="Q55" s="372" t="e">
        <f>Quarts!#REF!</f>
        <v>#REF!</v>
      </c>
      <c r="R55" s="372" t="e">
        <f>Quarts!#REF!</f>
        <v>#REF!</v>
      </c>
    </row>
    <row r="56" spans="2:18" ht="14.4" x14ac:dyDescent="0.55000000000000004">
      <c r="B56" s="424"/>
      <c r="C56" s="372"/>
      <c r="D56" s="372"/>
      <c r="E56" s="372"/>
      <c r="F56" s="372"/>
      <c r="G56" s="372"/>
      <c r="H56" s="372"/>
      <c r="I56" s="372"/>
    </row>
    <row r="57" spans="2:18" ht="14.4" x14ac:dyDescent="0.55000000000000004">
      <c r="B57" s="424"/>
      <c r="C57" s="372"/>
      <c r="D57" s="372"/>
      <c r="E57" s="372"/>
      <c r="F57" s="372"/>
      <c r="G57" s="372"/>
      <c r="H57" s="372"/>
      <c r="I57" s="372"/>
    </row>
    <row r="58" spans="2:18" ht="14.4" x14ac:dyDescent="0.55000000000000004">
      <c r="B58" s="424"/>
      <c r="C58" s="372"/>
      <c r="D58" s="372"/>
      <c r="E58" s="779" t="s">
        <v>376</v>
      </c>
      <c r="F58" s="779" t="s">
        <v>670</v>
      </c>
      <c r="G58" s="779" t="s">
        <v>867</v>
      </c>
      <c r="H58" s="779" t="s">
        <v>1007</v>
      </c>
      <c r="I58" s="779" t="s">
        <v>1008</v>
      </c>
      <c r="J58" s="779" t="s">
        <v>1009</v>
      </c>
      <c r="K58" s="779" t="str">
        <f>K54</f>
        <v>Q1 23</v>
      </c>
      <c r="L58" s="779"/>
      <c r="M58" s="779" t="str">
        <f>M54</f>
        <v>Q2 23</v>
      </c>
      <c r="N58" s="779" t="str">
        <f>N54</f>
        <v>Q3 23</v>
      </c>
      <c r="O58" s="780" t="s">
        <v>1028</v>
      </c>
      <c r="P58" s="780" t="s">
        <v>1029</v>
      </c>
      <c r="Q58" s="780" t="s">
        <v>1030</v>
      </c>
      <c r="R58" s="780" t="s">
        <v>1031</v>
      </c>
    </row>
    <row r="59" spans="2:18" ht="14.4" x14ac:dyDescent="0.55000000000000004">
      <c r="B59" s="424" t="s">
        <v>1158</v>
      </c>
      <c r="C59" s="372"/>
      <c r="D59" s="372"/>
      <c r="E59" s="372">
        <f>Quarts!J19</f>
        <v>0.98333333333333328</v>
      </c>
      <c r="F59" s="372">
        <f>Quarts!K19</f>
        <v>1.0342117647058824</v>
      </c>
      <c r="G59" s="372">
        <f>Quarts!M19</f>
        <v>0.97167529411764708</v>
      </c>
      <c r="H59" s="372">
        <f>Quarts!N19</f>
        <v>1.0831911111111112</v>
      </c>
      <c r="I59" s="372">
        <f>Quarts!O19</f>
        <v>1.1788656716417909</v>
      </c>
      <c r="J59" s="372">
        <f>Quarts!P19</f>
        <v>1.1682602666666666</v>
      </c>
      <c r="K59" s="372">
        <f>Quarts!R19</f>
        <v>1.0916991304347825</v>
      </c>
      <c r="L59" s="372"/>
      <c r="M59" s="372">
        <f>Quarts!S19</f>
        <v>1.0436173913043478</v>
      </c>
      <c r="N59" s="372">
        <f>Quarts!T19</f>
        <v>1.0662763076923076</v>
      </c>
    </row>
    <row r="70" spans="2:19" x14ac:dyDescent="0.5">
      <c r="C70" s="779" t="s">
        <v>672</v>
      </c>
      <c r="D70" s="779" t="s">
        <v>374</v>
      </c>
      <c r="E70" s="779" t="s">
        <v>375</v>
      </c>
      <c r="F70" s="779" t="s">
        <v>376</v>
      </c>
      <c r="G70" s="779" t="s">
        <v>670</v>
      </c>
      <c r="H70" s="779" t="s">
        <v>867</v>
      </c>
      <c r="I70" s="779" t="s">
        <v>1007</v>
      </c>
      <c r="J70" s="779" t="s">
        <v>1008</v>
      </c>
      <c r="K70" s="779" t="s">
        <v>1009</v>
      </c>
      <c r="L70" s="779"/>
      <c r="M70" s="779" t="str">
        <f>M77</f>
        <v>Q1 23</v>
      </c>
      <c r="N70" s="779" t="str">
        <f>N77</f>
        <v>Q2 23</v>
      </c>
      <c r="O70" s="779" t="str">
        <f>O77</f>
        <v>Q3 23</v>
      </c>
      <c r="P70" s="780"/>
      <c r="Q70" s="780"/>
      <c r="R70" s="780" t="s">
        <v>1030</v>
      </c>
      <c r="S70" s="780" t="s">
        <v>1031</v>
      </c>
    </row>
    <row r="71" spans="2:19" x14ac:dyDescent="0.5">
      <c r="B71" s="79" t="s">
        <v>706</v>
      </c>
      <c r="C71" s="394">
        <f>Quarts!G60</f>
        <v>0.37759131293188558</v>
      </c>
      <c r="D71" s="394">
        <f>Quarts!H60</f>
        <v>0.47224489795918362</v>
      </c>
      <c r="E71" s="394">
        <f>Quarts!I60</f>
        <v>0.49509074680154724</v>
      </c>
      <c r="F71" s="394">
        <f>Quarts!J60</f>
        <v>0.4655853607818673</v>
      </c>
      <c r="G71" s="394">
        <f>Quarts!K60</f>
        <v>0.3567742239833947</v>
      </c>
      <c r="H71" s="394">
        <f>Quarts!M60</f>
        <v>0.33523887254393481</v>
      </c>
      <c r="I71" s="394">
        <f>Quarts!N60</f>
        <v>0.31405083619783325</v>
      </c>
      <c r="J71" s="394">
        <f>Quarts!O60</f>
        <v>0.32672737011247999</v>
      </c>
      <c r="K71" s="394">
        <f>Quarts!P60</f>
        <v>0.39956159947926995</v>
      </c>
      <c r="L71" s="394"/>
      <c r="M71" s="394">
        <f>Quarts!R60</f>
        <v>0.40305933934483157</v>
      </c>
      <c r="N71" s="394">
        <f>Quarts!S60</f>
        <v>0.41849513004388317</v>
      </c>
      <c r="O71" s="394">
        <f>Quarts!T60</f>
        <v>0.42826983682756775</v>
      </c>
      <c r="P71" s="394"/>
      <c r="Q71" s="394"/>
      <c r="R71" s="394" t="e">
        <f>Quarts!#REF!</f>
        <v>#REF!</v>
      </c>
      <c r="S71" s="394" t="e">
        <f>Quarts!#REF!</f>
        <v>#REF!</v>
      </c>
    </row>
    <row r="72" spans="2:19" x14ac:dyDescent="0.5">
      <c r="B72" s="79" t="s">
        <v>1047</v>
      </c>
      <c r="C72" s="394">
        <f>Quarts!G41</f>
        <v>6.6987951807228913E-2</v>
      </c>
      <c r="D72" s="394">
        <f>Quarts!H41</f>
        <v>8.6176159540716113E-2</v>
      </c>
      <c r="E72" s="394">
        <f>Quarts!I41</f>
        <v>8.292805214339434E-2</v>
      </c>
      <c r="F72" s="394">
        <f>Quarts!J41</f>
        <v>0.1021105527638191</v>
      </c>
      <c r="G72" s="394">
        <f>Quarts!K41</f>
        <v>0.13495024092644192</v>
      </c>
      <c r="H72" s="394">
        <f>Quarts!M41</f>
        <v>0.12501693227622274</v>
      </c>
      <c r="I72" s="394">
        <f>Quarts!N41</f>
        <v>0.15091224652287569</v>
      </c>
      <c r="J72" s="394">
        <f>Quarts!O41</f>
        <v>0.15945748783220995</v>
      </c>
      <c r="K72" s="394">
        <f>Quarts!P41</f>
        <v>0.15836210982479415</v>
      </c>
      <c r="L72" s="394"/>
      <c r="M72" s="394">
        <f>Quarts!R41</f>
        <v>0.14800936768149883</v>
      </c>
      <c r="N72" s="394">
        <f>Quarts!S41</f>
        <v>0.17073452862926547</v>
      </c>
      <c r="O72" s="394">
        <f>Quarts!T41</f>
        <v>0.16559112764322692</v>
      </c>
      <c r="P72" s="394"/>
      <c r="Q72" s="394"/>
      <c r="R72" s="394" t="e">
        <f>Quarts!#REF!</f>
        <v>#REF!</v>
      </c>
      <c r="S72" s="394" t="e">
        <f>Quarts!#REF!</f>
        <v>#REF!</v>
      </c>
    </row>
    <row r="74" spans="2:19" ht="13.2" thickBot="1" x14ac:dyDescent="0.55000000000000004">
      <c r="C74" s="779"/>
      <c r="D74" s="779"/>
      <c r="E74" s="779" t="s">
        <v>375</v>
      </c>
      <c r="F74" s="779" t="s">
        <v>376</v>
      </c>
      <c r="G74" s="779" t="s">
        <v>670</v>
      </c>
      <c r="H74" s="779" t="s">
        <v>867</v>
      </c>
      <c r="I74" s="779" t="s">
        <v>1025</v>
      </c>
      <c r="J74" s="779" t="s">
        <v>1008</v>
      </c>
      <c r="K74" s="779" t="s">
        <v>1009</v>
      </c>
      <c r="L74" s="779"/>
      <c r="M74" s="779" t="str">
        <f>M77</f>
        <v>Q1 23</v>
      </c>
      <c r="N74" s="779" t="str">
        <f>N77</f>
        <v>Q2 23</v>
      </c>
      <c r="O74" s="779" t="str">
        <f>O77</f>
        <v>Q3 23</v>
      </c>
      <c r="P74" s="780"/>
      <c r="Q74" s="780"/>
      <c r="R74" s="780" t="s">
        <v>1030</v>
      </c>
      <c r="S74" s="780" t="s">
        <v>1031</v>
      </c>
    </row>
    <row r="75" spans="2:19" ht="14.7" thickBot="1" x14ac:dyDescent="0.6">
      <c r="B75" s="424" t="s">
        <v>1098</v>
      </c>
      <c r="C75" s="820"/>
      <c r="D75" s="820"/>
      <c r="E75" s="820">
        <f>Quarts!I32</f>
        <v>0.8939462903959946</v>
      </c>
      <c r="F75" s="820">
        <f>Quarts!J32</f>
        <v>0.88888888888888895</v>
      </c>
      <c r="G75" s="820">
        <f>Quarts!K32</f>
        <v>0.84593363934806265</v>
      </c>
      <c r="H75" s="820">
        <f>Quarts!M32</f>
        <v>0.81072732473869413</v>
      </c>
      <c r="I75" s="820">
        <f>Quarts!N32</f>
        <v>0.90660001320775174</v>
      </c>
      <c r="J75" s="820">
        <f>Quarts!O32</f>
        <v>0.92718772494382506</v>
      </c>
      <c r="K75" s="820">
        <f>Quarts!P32</f>
        <v>0.71655174094198448</v>
      </c>
      <c r="L75" s="820"/>
      <c r="M75" s="820">
        <f>Quarts!R32</f>
        <v>0.72807914404619611</v>
      </c>
      <c r="N75" s="820">
        <f>Quarts!S32</f>
        <v>0.69044742951996352</v>
      </c>
      <c r="O75" s="820">
        <f>Quarts!T32</f>
        <v>0.75357528657904527</v>
      </c>
      <c r="P75" s="820"/>
      <c r="Q75" s="820"/>
      <c r="R75" s="820" t="e">
        <f>Quarts!#REF!</f>
        <v>#REF!</v>
      </c>
      <c r="S75" s="820" t="e">
        <f>Quarts!#REF!</f>
        <v>#REF!</v>
      </c>
    </row>
    <row r="76" spans="2:19" ht="14.4" x14ac:dyDescent="0.55000000000000004">
      <c r="B76" s="424"/>
      <c r="C76" s="110"/>
      <c r="D76" s="110"/>
      <c r="E76" s="110"/>
      <c r="F76" s="820"/>
      <c r="G76" s="820"/>
      <c r="H76" s="820"/>
      <c r="I76" s="820"/>
      <c r="J76" s="820"/>
      <c r="K76" s="820"/>
      <c r="L76" s="820"/>
      <c r="M76" s="820"/>
      <c r="N76" s="820"/>
      <c r="O76" s="820"/>
      <c r="P76" s="820"/>
    </row>
    <row r="77" spans="2:19" ht="14.7" thickBot="1" x14ac:dyDescent="0.6">
      <c r="B77" s="424"/>
      <c r="C77" s="110"/>
      <c r="D77" s="110"/>
      <c r="E77" s="110"/>
      <c r="F77" s="779" t="s">
        <v>376</v>
      </c>
      <c r="G77" s="779" t="s">
        <v>670</v>
      </c>
      <c r="H77" s="779" t="s">
        <v>867</v>
      </c>
      <c r="I77" s="779" t="s">
        <v>1025</v>
      </c>
      <c r="J77" s="779" t="s">
        <v>1008</v>
      </c>
      <c r="K77" s="779" t="s">
        <v>1009</v>
      </c>
      <c r="L77" s="779"/>
      <c r="M77" s="779" t="s">
        <v>1014</v>
      </c>
      <c r="N77" s="779" t="s">
        <v>1015</v>
      </c>
      <c r="O77" s="779" t="s">
        <v>1016</v>
      </c>
    </row>
    <row r="78" spans="2:19" ht="14.4" x14ac:dyDescent="0.55000000000000004">
      <c r="B78" s="424" t="s">
        <v>1159</v>
      </c>
      <c r="F78" s="853">
        <v>0.98</v>
      </c>
      <c r="G78" s="853">
        <v>0.98</v>
      </c>
      <c r="H78" s="853">
        <v>0.98</v>
      </c>
      <c r="I78" s="853">
        <v>0.98</v>
      </c>
      <c r="J78" s="853">
        <v>0.95</v>
      </c>
      <c r="K78" s="853">
        <v>0.78</v>
      </c>
      <c r="L78" s="853"/>
      <c r="M78" s="853">
        <v>0.81</v>
      </c>
      <c r="N78" s="820">
        <v>0.8</v>
      </c>
      <c r="O78" s="820">
        <v>0.8</v>
      </c>
      <c r="P78" s="820"/>
    </row>
    <row r="80" spans="2:19" ht="14.1" x14ac:dyDescent="0.5">
      <c r="B80" s="912" t="s">
        <v>675</v>
      </c>
      <c r="C80" s="913" t="s">
        <v>374</v>
      </c>
      <c r="D80" s="913" t="s">
        <v>375</v>
      </c>
      <c r="E80" s="913" t="s">
        <v>376</v>
      </c>
      <c r="F80" s="913" t="s">
        <v>670</v>
      </c>
      <c r="G80" s="913" t="s">
        <v>867</v>
      </c>
      <c r="H80" s="913" t="s">
        <v>1007</v>
      </c>
      <c r="I80" s="913" t="s">
        <v>1008</v>
      </c>
      <c r="J80" s="913" t="s">
        <v>1009</v>
      </c>
      <c r="K80" s="913" t="s">
        <v>1014</v>
      </c>
      <c r="L80" s="913" t="s">
        <v>1015</v>
      </c>
      <c r="M80" s="913" t="s">
        <v>1016</v>
      </c>
      <c r="N80" s="913" t="s">
        <v>1017</v>
      </c>
      <c r="O80" s="913" t="s">
        <v>2107</v>
      </c>
      <c r="P80" s="913" t="s">
        <v>2303</v>
      </c>
      <c r="Q80" s="913" t="s">
        <v>2290</v>
      </c>
    </row>
    <row r="81" spans="2:16" ht="14.1" x14ac:dyDescent="0.5">
      <c r="B81" s="914" t="s">
        <v>676</v>
      </c>
      <c r="C81" s="915">
        <f>Quarts!H198</f>
        <v>37.1</v>
      </c>
      <c r="D81" s="915">
        <f>Quarts!I198</f>
        <v>41.7</v>
      </c>
      <c r="E81" s="915">
        <f>Quarts!J198</f>
        <v>48.1</v>
      </c>
      <c r="F81" s="915">
        <f>Quarts!K198</f>
        <v>53.9</v>
      </c>
      <c r="G81" s="915">
        <f>Quarts!M198</f>
        <v>59.6</v>
      </c>
      <c r="H81" s="915">
        <f>Quarts!N198</f>
        <v>65.3</v>
      </c>
      <c r="I81" s="915">
        <f>Quarts!O198</f>
        <v>70.400000000000006</v>
      </c>
      <c r="J81" s="915">
        <f>Quarts!P198</f>
        <v>74.599999999999994</v>
      </c>
      <c r="K81" s="915">
        <f>Quarts!R198</f>
        <v>79.099999999999994</v>
      </c>
      <c r="L81" s="915">
        <f>Quarts!S198</f>
        <v>83.7</v>
      </c>
      <c r="M81" s="915">
        <f>Quarts!T198</f>
        <v>89.1</v>
      </c>
      <c r="N81" s="915">
        <f>Quarts!U198</f>
        <v>93.9</v>
      </c>
      <c r="O81" s="915">
        <f>Quarts!W198</f>
        <v>99.3</v>
      </c>
      <c r="P81" s="915">
        <f>Quarts!X198</f>
        <v>104.5</v>
      </c>
    </row>
    <row r="82" spans="2:16" ht="14.1" x14ac:dyDescent="0.5">
      <c r="B82" s="570" t="s">
        <v>677</v>
      </c>
      <c r="C82" s="916">
        <f>C81-37.1</f>
        <v>0</v>
      </c>
      <c r="D82" s="916">
        <f>D81-37.1</f>
        <v>4.6000000000000014</v>
      </c>
      <c r="E82" s="916">
        <f t="shared" ref="E82:K82" si="29">E81-D81</f>
        <v>6.3999999999999986</v>
      </c>
      <c r="F82" s="916">
        <f t="shared" si="29"/>
        <v>5.7999999999999972</v>
      </c>
      <c r="G82" s="916">
        <f t="shared" si="29"/>
        <v>5.7000000000000028</v>
      </c>
      <c r="H82" s="916">
        <f t="shared" si="29"/>
        <v>5.6999999999999957</v>
      </c>
      <c r="I82" s="916">
        <f t="shared" si="29"/>
        <v>5.1000000000000085</v>
      </c>
      <c r="J82" s="916">
        <f t="shared" si="29"/>
        <v>4.1999999999999886</v>
      </c>
      <c r="K82" s="916">
        <f t="shared" si="29"/>
        <v>4.5</v>
      </c>
      <c r="L82" s="916">
        <f>L81-K81</f>
        <v>4.6000000000000085</v>
      </c>
      <c r="M82" s="916">
        <f>M81-L81</f>
        <v>5.3999999999999915</v>
      </c>
      <c r="N82" s="916">
        <f>N81-M81</f>
        <v>4.8000000000000114</v>
      </c>
      <c r="O82" s="916">
        <f>O81-N81</f>
        <v>5.3999999999999915</v>
      </c>
      <c r="P82" s="916">
        <f>P81-O81</f>
        <v>5.2000000000000028</v>
      </c>
    </row>
    <row r="83" spans="2:16" ht="14.1" x14ac:dyDescent="0.5">
      <c r="B83" s="917" t="s">
        <v>445</v>
      </c>
      <c r="C83" s="918">
        <f>Quarts!H208</f>
        <v>25.549450549450547</v>
      </c>
      <c r="D83" s="918">
        <f>Quarts!I208</f>
        <v>29.885714285714283</v>
      </c>
      <c r="E83" s="918">
        <f>Quarts!J208</f>
        <v>35.200000000000003</v>
      </c>
      <c r="F83" s="918">
        <f>Quarts!K208</f>
        <v>39.9</v>
      </c>
      <c r="G83" s="918">
        <f>Quarts!M208</f>
        <v>46.5</v>
      </c>
      <c r="H83" s="918">
        <f>Quarts!N208</f>
        <v>52.3</v>
      </c>
      <c r="I83" s="918">
        <f>Quarts!O208</f>
        <v>57.4</v>
      </c>
      <c r="J83" s="918">
        <f>Quarts!P208</f>
        <v>61.2</v>
      </c>
      <c r="K83" s="918">
        <f>Quarts!R208</f>
        <v>64.900000000000006</v>
      </c>
      <c r="L83" s="918">
        <f>Quarts!S208</f>
        <v>68.8</v>
      </c>
      <c r="M83" s="918">
        <f>Quarts!T208</f>
        <v>73.8</v>
      </c>
      <c r="N83" s="918">
        <f>Quarts!U208</f>
        <v>78</v>
      </c>
      <c r="O83" s="918">
        <f>Quarts!W208</f>
        <v>82.6</v>
      </c>
      <c r="P83" s="918">
        <f>Quarts!X208</f>
        <v>87.2</v>
      </c>
    </row>
    <row r="84" spans="2:16" ht="14.1" x14ac:dyDescent="0.5">
      <c r="B84" s="570" t="s">
        <v>677</v>
      </c>
      <c r="C84" s="916">
        <f>C83-25.5</f>
        <v>4.9450549450547499E-2</v>
      </c>
      <c r="D84" s="916">
        <f>D83-25.5</f>
        <v>4.3857142857142826</v>
      </c>
      <c r="E84" s="916">
        <f t="shared" ref="E84:K84" si="30">E83-D83</f>
        <v>5.3142857142857203</v>
      </c>
      <c r="F84" s="916">
        <f t="shared" si="30"/>
        <v>4.6999999999999957</v>
      </c>
      <c r="G84" s="916">
        <f t="shared" si="30"/>
        <v>6.6000000000000014</v>
      </c>
      <c r="H84" s="916">
        <f t="shared" si="30"/>
        <v>5.7999999999999972</v>
      </c>
      <c r="I84" s="916">
        <f t="shared" si="30"/>
        <v>5.1000000000000014</v>
      </c>
      <c r="J84" s="916">
        <f t="shared" si="30"/>
        <v>3.8000000000000043</v>
      </c>
      <c r="K84" s="916">
        <f t="shared" si="30"/>
        <v>3.7000000000000028</v>
      </c>
      <c r="L84" s="916">
        <f>L83-K83</f>
        <v>3.8999999999999915</v>
      </c>
      <c r="M84" s="916">
        <f>M83-L83</f>
        <v>5</v>
      </c>
      <c r="N84" s="916">
        <f>N83-M83</f>
        <v>4.2000000000000028</v>
      </c>
      <c r="O84" s="916">
        <f>O83-N83</f>
        <v>4.5999999999999943</v>
      </c>
      <c r="P84" s="916">
        <f>P83-O83</f>
        <v>4.6000000000000085</v>
      </c>
    </row>
    <row r="85" spans="2:16" ht="14.1" x14ac:dyDescent="0.5">
      <c r="B85" s="919" t="s">
        <v>701</v>
      </c>
      <c r="C85" s="918"/>
      <c r="D85" s="918"/>
      <c r="E85" s="918"/>
      <c r="F85" s="918"/>
      <c r="G85" s="918"/>
      <c r="H85" s="918"/>
      <c r="I85" s="918"/>
      <c r="J85" s="918"/>
      <c r="K85" s="918"/>
      <c r="L85" s="918"/>
      <c r="M85" s="918"/>
      <c r="N85" s="918"/>
      <c r="O85" s="918"/>
      <c r="P85" s="918"/>
    </row>
    <row r="86" spans="2:16" ht="14.1" x14ac:dyDescent="0.5">
      <c r="B86" s="568" t="s">
        <v>389</v>
      </c>
      <c r="C86" s="916">
        <f>Quarts!H212</f>
        <v>3.4495296447580142</v>
      </c>
      <c r="D86" s="916">
        <f>Quarts!I212</f>
        <v>4.0419590585312362</v>
      </c>
      <c r="E86" s="916">
        <f>Quarts!J212</f>
        <v>4.9258121158911319</v>
      </c>
      <c r="F86" s="916">
        <f>Quarts!K212</f>
        <v>5.6</v>
      </c>
      <c r="G86" s="916">
        <f>Quarts!M212</f>
        <v>6.7</v>
      </c>
      <c r="H86" s="916">
        <f>Quarts!N212</f>
        <v>7.8</v>
      </c>
      <c r="I86" s="916">
        <f>Quarts!O212</f>
        <v>7.9</v>
      </c>
      <c r="J86" s="916">
        <f>Quarts!P212</f>
        <v>8.1999999999999993</v>
      </c>
      <c r="K86" s="916">
        <f>Quarts!R212</f>
        <v>8.6</v>
      </c>
      <c r="L86" s="916">
        <f>Quarts!S212</f>
        <v>9.3000000000000007</v>
      </c>
      <c r="M86" s="916">
        <f>Quarts!T212</f>
        <v>10</v>
      </c>
      <c r="N86" s="916">
        <f>Quarts!U212</f>
        <v>10.6</v>
      </c>
      <c r="O86" s="916">
        <f>Quarts!W212</f>
        <v>0</v>
      </c>
      <c r="P86" s="916">
        <f>Quarts!X212</f>
        <v>0</v>
      </c>
    </row>
    <row r="87" spans="2:16" ht="14.1" x14ac:dyDescent="0.5">
      <c r="B87" s="920"/>
      <c r="C87" s="918"/>
      <c r="D87" s="918"/>
      <c r="E87" s="918"/>
      <c r="F87" s="918"/>
      <c r="G87" s="918"/>
      <c r="H87" s="918"/>
      <c r="I87" s="918"/>
      <c r="J87" s="918"/>
      <c r="K87" s="918"/>
      <c r="L87" s="918"/>
      <c r="M87" s="918"/>
      <c r="N87" s="918"/>
      <c r="O87" s="918"/>
      <c r="P87" s="918"/>
    </row>
    <row r="88" spans="2:16" ht="14.1" x14ac:dyDescent="0.5">
      <c r="B88" s="702" t="s">
        <v>698</v>
      </c>
      <c r="C88" s="921"/>
      <c r="D88" s="921"/>
      <c r="E88" s="921"/>
      <c r="F88" s="921"/>
      <c r="G88" s="921"/>
      <c r="H88" s="921"/>
      <c r="I88" s="921"/>
      <c r="J88" s="921"/>
      <c r="K88" s="921"/>
      <c r="L88" s="921"/>
      <c r="M88" s="921"/>
      <c r="N88" s="921"/>
      <c r="O88" s="921"/>
      <c r="P88" s="921"/>
    </row>
    <row r="89" spans="2:16" ht="14.1" x14ac:dyDescent="0.5">
      <c r="B89" s="922" t="s">
        <v>345</v>
      </c>
      <c r="C89" s="923">
        <f>Quarts!G233</f>
        <v>2908.9</v>
      </c>
      <c r="D89" s="923">
        <f>Quarts!H233</f>
        <v>3300</v>
      </c>
      <c r="E89" s="923">
        <f>Quarts!I233</f>
        <v>3600</v>
      </c>
      <c r="F89" s="923">
        <f>Quarts!J233</f>
        <v>4061.5</v>
      </c>
      <c r="G89" s="923">
        <f>Quarts!M233</f>
        <v>6234</v>
      </c>
      <c r="H89" s="923">
        <f>Quarts!N233</f>
        <v>6478.47</v>
      </c>
      <c r="I89" s="923">
        <f>Quarts!O233</f>
        <v>6987.9480000000003</v>
      </c>
      <c r="J89" s="923">
        <f>Quarts!P233</f>
        <v>8233</v>
      </c>
      <c r="K89" s="923">
        <f>Quarts!R233</f>
        <v>9158</v>
      </c>
      <c r="L89" s="923">
        <f>Quarts!S233</f>
        <v>10388</v>
      </c>
      <c r="M89" s="923">
        <f>Quarts!T233</f>
        <v>10495.5</v>
      </c>
      <c r="N89" s="923">
        <f>Quarts!U233</f>
        <v>12414</v>
      </c>
      <c r="O89" s="923">
        <f>Quarts!W233</f>
        <v>12796.7</v>
      </c>
      <c r="P89" s="923">
        <f>Quarts!X233</f>
        <v>12027</v>
      </c>
    </row>
    <row r="90" spans="2:16" ht="14.1" x14ac:dyDescent="0.5">
      <c r="B90" s="568" t="s">
        <v>218</v>
      </c>
      <c r="C90" s="924">
        <f>Quarts!G234</f>
        <v>202.32558139534882</v>
      </c>
      <c r="D90" s="924">
        <f>Quarts!H234</f>
        <v>400</v>
      </c>
      <c r="E90" s="924">
        <f>Quarts!I234</f>
        <v>600</v>
      </c>
      <c r="F90" s="924">
        <f>Quarts!J234</f>
        <v>792.7</v>
      </c>
      <c r="G90" s="924">
        <f>Quarts!M234</f>
        <v>1667</v>
      </c>
      <c r="H90" s="924">
        <f>Quarts!N234</f>
        <v>1675.7760000000001</v>
      </c>
      <c r="I90" s="924">
        <f>Quarts!O234</f>
        <v>1603.105</v>
      </c>
      <c r="J90" s="924">
        <f>Quarts!P234</f>
        <v>1673</v>
      </c>
      <c r="K90" s="924">
        <f>Quarts!R234</f>
        <v>2020</v>
      </c>
      <c r="L90" s="924">
        <f>Quarts!S234</f>
        <v>2433</v>
      </c>
      <c r="M90" s="924">
        <f>Quarts!T234</f>
        <v>2689.9780000000001</v>
      </c>
      <c r="N90" s="924">
        <f>Quarts!U234</f>
        <v>3202</v>
      </c>
      <c r="O90" s="924">
        <f>Quarts!W234</f>
        <v>3864</v>
      </c>
      <c r="P90" s="924">
        <f>Quarts!X234</f>
        <v>4008</v>
      </c>
    </row>
    <row r="91" spans="2:16" s="82" customFormat="1" ht="14.1" x14ac:dyDescent="0.5">
      <c r="B91" s="925" t="s">
        <v>1102</v>
      </c>
      <c r="C91" s="926">
        <f>Quarts!G236</f>
        <v>3111.2255813953489</v>
      </c>
      <c r="D91" s="926">
        <f>Quarts!H236</f>
        <v>3700</v>
      </c>
      <c r="E91" s="926">
        <f>Quarts!I236</f>
        <v>4200</v>
      </c>
      <c r="F91" s="926">
        <f>Quarts!J236</f>
        <v>4854.2</v>
      </c>
      <c r="G91" s="926">
        <f>Quarts!M236</f>
        <v>7901</v>
      </c>
      <c r="H91" s="926">
        <f>Quarts!N236</f>
        <v>8154.2460000000001</v>
      </c>
      <c r="I91" s="926">
        <f>Quarts!O236</f>
        <v>8591.0529999999999</v>
      </c>
      <c r="J91" s="926">
        <f>Quarts!P236</f>
        <v>9906</v>
      </c>
      <c r="K91" s="926">
        <f>Quarts!R236</f>
        <v>11178</v>
      </c>
      <c r="L91" s="926">
        <f>Quarts!S236</f>
        <v>12821</v>
      </c>
      <c r="M91" s="926">
        <f>Quarts!T236</f>
        <v>13185.477999999999</v>
      </c>
      <c r="N91" s="926">
        <f>Quarts!U236</f>
        <v>15616</v>
      </c>
      <c r="O91" s="926">
        <f>Quarts!W236</f>
        <v>16660.7</v>
      </c>
      <c r="P91" s="926">
        <f>Quarts!X236</f>
        <v>16035</v>
      </c>
    </row>
    <row r="92" spans="2:16" ht="14.1" x14ac:dyDescent="0.5">
      <c r="B92" s="927"/>
      <c r="C92" s="928"/>
      <c r="D92" s="928"/>
      <c r="E92" s="928"/>
      <c r="F92" s="928"/>
      <c r="G92" s="928"/>
      <c r="H92" s="928"/>
      <c r="I92" s="928"/>
      <c r="J92" s="928"/>
      <c r="K92" s="928"/>
      <c r="L92" s="928"/>
      <c r="M92" s="928"/>
      <c r="N92" s="928"/>
      <c r="O92" s="928"/>
      <c r="P92" s="928"/>
    </row>
    <row r="93" spans="2:16" ht="14.1" x14ac:dyDescent="0.5">
      <c r="B93" s="927"/>
      <c r="C93" s="928"/>
      <c r="D93" s="928"/>
      <c r="E93" s="928"/>
      <c r="F93" s="928"/>
      <c r="G93" s="928"/>
      <c r="H93" s="928"/>
      <c r="I93" s="928"/>
      <c r="J93" s="928"/>
      <c r="K93" s="928"/>
      <c r="L93" s="928"/>
      <c r="M93" s="928"/>
      <c r="N93" s="928"/>
      <c r="O93" s="928"/>
      <c r="P93" s="928"/>
    </row>
    <row r="94" spans="2:16" ht="14.1" x14ac:dyDescent="0.5">
      <c r="B94" s="927"/>
      <c r="C94" s="928"/>
      <c r="D94" s="928"/>
      <c r="E94" s="928"/>
      <c r="F94" s="928"/>
      <c r="G94" s="928"/>
      <c r="H94" s="928"/>
      <c r="I94" s="928"/>
      <c r="J94" s="928"/>
      <c r="K94" s="928"/>
      <c r="L94" s="928"/>
      <c r="M94" s="928"/>
      <c r="N94" s="928"/>
      <c r="O94" s="928"/>
      <c r="P94" s="928"/>
    </row>
    <row r="95" spans="2:16" ht="14.1" x14ac:dyDescent="0.5">
      <c r="B95" s="927"/>
      <c r="C95" s="928"/>
      <c r="D95" s="928"/>
      <c r="E95" s="928"/>
      <c r="F95" s="928"/>
      <c r="G95" s="928"/>
      <c r="H95" s="928"/>
      <c r="I95" s="928"/>
      <c r="J95" s="928"/>
      <c r="K95" s="928"/>
      <c r="L95" s="928"/>
      <c r="M95" s="928"/>
      <c r="N95" s="928"/>
      <c r="O95" s="928"/>
      <c r="P95" s="928"/>
    </row>
    <row r="96" spans="2:16" ht="14.1" x14ac:dyDescent="0.5">
      <c r="B96" s="927"/>
      <c r="C96" s="928"/>
      <c r="D96" s="928"/>
      <c r="E96" s="928"/>
      <c r="F96" s="928"/>
      <c r="G96" s="928"/>
      <c r="H96" s="928"/>
      <c r="I96" s="928"/>
      <c r="J96" s="928"/>
      <c r="K96" s="928"/>
      <c r="L96" s="928"/>
      <c r="M96" s="928"/>
      <c r="N96" s="928"/>
      <c r="O96" s="928"/>
      <c r="P96" s="928"/>
    </row>
    <row r="97" spans="2:17" ht="14.1" x14ac:dyDescent="0.5">
      <c r="B97" s="919" t="s">
        <v>521</v>
      </c>
      <c r="C97" s="929"/>
      <c r="D97" s="929"/>
      <c r="E97" s="929"/>
      <c r="F97" s="929"/>
      <c r="G97" s="929"/>
      <c r="H97" s="929"/>
      <c r="I97" s="929"/>
      <c r="J97" s="929"/>
      <c r="K97" s="929"/>
      <c r="L97" s="929"/>
      <c r="M97" s="929"/>
      <c r="N97" s="929"/>
      <c r="O97" s="929"/>
      <c r="P97" s="929"/>
    </row>
    <row r="98" spans="2:17" ht="14.1" x14ac:dyDescent="0.5">
      <c r="B98" s="552" t="s">
        <v>2301</v>
      </c>
      <c r="C98" s="930">
        <f>Quarts!H387</f>
        <v>0.03</v>
      </c>
      <c r="D98" s="930">
        <f>Quarts!I387</f>
        <v>0.03</v>
      </c>
      <c r="E98" s="930">
        <f>Quarts!J387</f>
        <v>3.2000000000000001E-2</v>
      </c>
      <c r="F98" s="930">
        <f>Quarts!K387</f>
        <v>3.1E-2</v>
      </c>
      <c r="G98" s="930">
        <f>Quarts!M387</f>
        <v>3.5000000000000003E-2</v>
      </c>
      <c r="H98" s="930">
        <f>Quarts!N387</f>
        <v>4.1000000000000002E-2</v>
      </c>
      <c r="I98" s="930">
        <f>Quarts!O387</f>
        <v>4.7E-2</v>
      </c>
      <c r="J98" s="930">
        <f>Quarts!P387</f>
        <v>5.1999999999999998E-2</v>
      </c>
      <c r="K98" s="930">
        <f>Quarts!R387</f>
        <v>5.5E-2</v>
      </c>
      <c r="L98" s="930">
        <f>Quarts!S387</f>
        <v>5.8999999999999997E-2</v>
      </c>
      <c r="M98" s="930">
        <f>Quarts!T387</f>
        <v>6.0999999999999999E-2</v>
      </c>
      <c r="N98" s="930">
        <f>Quarts!U387</f>
        <v>6.0999999999999999E-2</v>
      </c>
      <c r="O98" s="930">
        <f>Quarts!W387</f>
        <v>6.3E-2</v>
      </c>
      <c r="P98" s="930">
        <f>Quarts!X387</f>
        <v>7.0000000000000007E-2</v>
      </c>
      <c r="Q98" s="930"/>
    </row>
    <row r="99" spans="2:17" ht="14.1" x14ac:dyDescent="0.5">
      <c r="B99" s="917" t="s">
        <v>2302</v>
      </c>
      <c r="C99" s="931">
        <v>2.1999999999999999E-2</v>
      </c>
      <c r="D99" s="931">
        <v>2.1999999999999999E-2</v>
      </c>
      <c r="E99" s="931">
        <v>2.3E-2</v>
      </c>
      <c r="F99" s="931">
        <v>2.5999999999999999E-2</v>
      </c>
      <c r="G99" s="931">
        <v>3.6999999999999998E-2</v>
      </c>
      <c r="H99" s="931">
        <v>3.5999999999999997E-2</v>
      </c>
      <c r="I99" s="931">
        <v>4.2000000000000003E-2</v>
      </c>
      <c r="J99" s="931">
        <v>3.6999999999999998E-2</v>
      </c>
      <c r="K99" s="931">
        <v>4.3999999999999997E-2</v>
      </c>
      <c r="L99" s="931">
        <v>4.2999999999999997E-2</v>
      </c>
      <c r="M99" s="931">
        <v>4.2000000000000003E-2</v>
      </c>
      <c r="N99" s="931">
        <v>4.1000000000000002E-2</v>
      </c>
      <c r="O99" s="931">
        <v>0.05</v>
      </c>
      <c r="P99" s="931">
        <v>4.4999999999999998E-2</v>
      </c>
      <c r="Q99" s="931"/>
    </row>
    <row r="100" spans="2:17" ht="14.1" x14ac:dyDescent="0.5">
      <c r="B100" s="932" t="s">
        <v>678</v>
      </c>
      <c r="C100" s="933"/>
      <c r="D100" s="933"/>
      <c r="E100" s="933"/>
      <c r="F100" s="933"/>
      <c r="G100" s="933"/>
      <c r="H100" s="933"/>
      <c r="I100" s="933"/>
      <c r="J100" s="933"/>
      <c r="K100" s="933"/>
      <c r="L100" s="933"/>
      <c r="M100" s="933"/>
      <c r="N100" s="933"/>
      <c r="O100" s="933"/>
      <c r="P100" s="933"/>
    </row>
    <row r="101" spans="2:17" ht="14.1" x14ac:dyDescent="0.5">
      <c r="B101" s="1071" t="s">
        <v>700</v>
      </c>
      <c r="C101" s="1072">
        <f>Quarts!H340</f>
        <v>7.5</v>
      </c>
      <c r="D101" s="1072">
        <f>Quarts!I340</f>
        <v>9.9</v>
      </c>
      <c r="E101" s="1072">
        <f>Quarts!J340</f>
        <v>12.1</v>
      </c>
      <c r="F101" s="1072">
        <f>Quarts!K340</f>
        <v>14.3</v>
      </c>
      <c r="G101" s="1072">
        <f>Quarts!M340</f>
        <v>15.9</v>
      </c>
      <c r="H101" s="1072">
        <f>Quarts!N340</f>
        <v>20</v>
      </c>
      <c r="I101" s="1072">
        <f>Quarts!O340</f>
        <v>21.2</v>
      </c>
      <c r="J101" s="1072">
        <f>Quarts!P340</f>
        <v>23.8</v>
      </c>
      <c r="K101" s="1072">
        <f>Quarts!R340</f>
        <v>23.3</v>
      </c>
      <c r="L101" s="1072">
        <f>Quarts!S340</f>
        <v>26.3</v>
      </c>
      <c r="M101" s="1072">
        <f>Quarts!T340</f>
        <v>29</v>
      </c>
      <c r="N101" s="1072">
        <f>Quarts!U340</f>
        <v>32.6</v>
      </c>
      <c r="O101" s="1072">
        <f>Quarts!W340</f>
        <v>31.4</v>
      </c>
      <c r="P101" s="1072">
        <f>Quarts!X340</f>
        <v>31.4</v>
      </c>
    </row>
    <row r="102" spans="2:17" x14ac:dyDescent="0.5">
      <c r="B102" s="438"/>
      <c r="C102" s="438"/>
      <c r="D102" s="438"/>
      <c r="E102" s="154"/>
      <c r="F102" s="154"/>
      <c r="G102" s="138"/>
      <c r="H102" s="138"/>
      <c r="I102" s="138"/>
      <c r="J102" s="838"/>
      <c r="K102" s="838"/>
      <c r="L102" s="838"/>
    </row>
    <row r="103" spans="2:17" x14ac:dyDescent="0.5">
      <c r="B103" s="438"/>
      <c r="C103" s="438"/>
      <c r="D103" s="438"/>
      <c r="E103" s="154"/>
      <c r="F103" s="154"/>
      <c r="G103" s="138"/>
      <c r="H103" s="138"/>
      <c r="I103" s="138"/>
      <c r="J103" s="838"/>
      <c r="K103" s="838"/>
      <c r="L103" s="838"/>
    </row>
    <row r="104" spans="2:17" x14ac:dyDescent="0.5">
      <c r="B104" s="81"/>
      <c r="C104" s="839"/>
      <c r="D104" s="839"/>
      <c r="E104" s="839"/>
      <c r="F104" s="840"/>
      <c r="G104" s="840"/>
      <c r="H104" s="841"/>
      <c r="I104" s="81"/>
      <c r="J104" s="841"/>
      <c r="K104" s="841"/>
      <c r="L104" s="398"/>
    </row>
    <row r="105" spans="2:17" x14ac:dyDescent="0.5">
      <c r="B105" s="781" t="s">
        <v>699</v>
      </c>
      <c r="C105" s="129" t="e">
        <f>#REF!</f>
        <v>#REF!</v>
      </c>
      <c r="D105" s="129" t="str">
        <f>D80</f>
        <v>Q2 21</v>
      </c>
      <c r="E105" s="129" t="str">
        <f>E80</f>
        <v>Q3 21</v>
      </c>
      <c r="F105" s="129" t="str">
        <f>F80</f>
        <v>Q4 21</v>
      </c>
      <c r="G105" s="129" t="str">
        <f>G80</f>
        <v>Q1 22</v>
      </c>
      <c r="H105" s="129" t="str">
        <f>K80</f>
        <v>Q1 23</v>
      </c>
      <c r="I105" s="232"/>
      <c r="J105" s="232"/>
    </row>
    <row r="106" spans="2:17" x14ac:dyDescent="0.5">
      <c r="B106" s="82" t="s">
        <v>316</v>
      </c>
      <c r="C106" s="82"/>
      <c r="D106" s="82"/>
      <c r="E106" s="82"/>
      <c r="F106" s="80"/>
      <c r="G106" s="80"/>
      <c r="H106" s="392"/>
      <c r="I106" s="392"/>
      <c r="J106" s="392"/>
    </row>
    <row r="107" spans="2:17" x14ac:dyDescent="0.5">
      <c r="B107" s="79" t="s">
        <v>682</v>
      </c>
      <c r="C107" s="80"/>
      <c r="D107" s="80"/>
      <c r="E107" s="80"/>
      <c r="F107" s="80"/>
      <c r="G107" s="80"/>
      <c r="H107" s="392"/>
      <c r="I107" s="392"/>
      <c r="J107" s="392"/>
    </row>
    <row r="108" spans="2:17" x14ac:dyDescent="0.5">
      <c r="B108" s="79" t="s">
        <v>325</v>
      </c>
      <c r="C108" s="782"/>
      <c r="D108" s="782"/>
      <c r="E108" s="782"/>
      <c r="F108" s="782"/>
      <c r="G108" s="782"/>
      <c r="H108" s="153"/>
      <c r="I108" s="153"/>
      <c r="J108" s="153"/>
    </row>
    <row r="110" spans="2:17" x14ac:dyDescent="0.5">
      <c r="B110" s="82" t="s">
        <v>683</v>
      </c>
      <c r="C110" s="80"/>
      <c r="D110" s="80"/>
      <c r="E110" s="80"/>
      <c r="F110" s="80"/>
      <c r="G110" s="80"/>
      <c r="H110" s="392"/>
      <c r="I110" s="392"/>
      <c r="J110" s="392"/>
    </row>
    <row r="111" spans="2:17" x14ac:dyDescent="0.5">
      <c r="B111" s="79" t="s">
        <v>339</v>
      </c>
      <c r="C111" s="80"/>
      <c r="D111" s="80"/>
      <c r="E111" s="80"/>
      <c r="F111" s="80"/>
      <c r="G111" s="80"/>
      <c r="H111" s="392"/>
      <c r="I111" s="392"/>
      <c r="J111" s="392"/>
    </row>
    <row r="112" spans="2:17" x14ac:dyDescent="0.5">
      <c r="B112" s="79" t="s">
        <v>684</v>
      </c>
      <c r="C112" s="783"/>
      <c r="D112" s="783"/>
      <c r="E112" s="783"/>
      <c r="F112" s="783"/>
      <c r="G112" s="783"/>
      <c r="H112" s="153"/>
      <c r="I112" s="153"/>
      <c r="J112" s="153"/>
    </row>
    <row r="114" spans="2:30" x14ac:dyDescent="0.5">
      <c r="B114" s="82" t="s">
        <v>685</v>
      </c>
      <c r="C114" s="80"/>
      <c r="D114" s="80"/>
      <c r="E114" s="80"/>
      <c r="F114" s="80"/>
      <c r="G114" s="80"/>
      <c r="H114" s="392"/>
      <c r="I114" s="392"/>
      <c r="J114" s="392"/>
    </row>
    <row r="115" spans="2:30" x14ac:dyDescent="0.5">
      <c r="B115" s="79" t="s">
        <v>686</v>
      </c>
      <c r="C115" s="80"/>
      <c r="D115" s="80"/>
      <c r="E115" s="80"/>
      <c r="F115" s="80"/>
      <c r="G115" s="154"/>
      <c r="H115" s="392"/>
      <c r="I115" s="392"/>
      <c r="J115" s="392"/>
    </row>
    <row r="116" spans="2:30" x14ac:dyDescent="0.5">
      <c r="B116" s="81" t="s">
        <v>684</v>
      </c>
      <c r="C116" s="784"/>
      <c r="D116" s="784"/>
      <c r="E116" s="784"/>
      <c r="F116" s="784"/>
      <c r="G116" s="784"/>
      <c r="H116" s="785"/>
      <c r="I116" s="153"/>
      <c r="J116" s="153"/>
    </row>
    <row r="119" spans="2:30" x14ac:dyDescent="0.5">
      <c r="M119" s="779" t="s">
        <v>672</v>
      </c>
      <c r="N119" s="779" t="s">
        <v>374</v>
      </c>
      <c r="O119" s="779" t="s">
        <v>375</v>
      </c>
      <c r="P119" s="779" t="s">
        <v>376</v>
      </c>
      <c r="Q119" s="779" t="s">
        <v>670</v>
      </c>
      <c r="R119" s="779" t="s">
        <v>867</v>
      </c>
      <c r="S119" s="779" t="s">
        <v>58</v>
      </c>
      <c r="T119" s="779" t="s">
        <v>59</v>
      </c>
      <c r="U119" s="779" t="s">
        <v>60</v>
      </c>
      <c r="V119" s="779" t="s">
        <v>61</v>
      </c>
      <c r="W119" s="779" t="s">
        <v>62</v>
      </c>
      <c r="X119" s="779" t="s">
        <v>63</v>
      </c>
      <c r="Y119" s="779" t="s">
        <v>64</v>
      </c>
      <c r="Z119" s="779">
        <v>2023</v>
      </c>
      <c r="AA119" s="779">
        <f>P70</f>
        <v>0</v>
      </c>
      <c r="AB119" s="779">
        <f>Q70</f>
        <v>0</v>
      </c>
      <c r="AC119" s="779" t="str">
        <f>R70</f>
        <v>Q3 23e</v>
      </c>
      <c r="AD119" s="779" t="str">
        <f>S70</f>
        <v>Q4 23e</v>
      </c>
    </row>
    <row r="120" spans="2:30" x14ac:dyDescent="0.5">
      <c r="M120" s="309">
        <f>Quarts!G60</f>
        <v>0.37759131293188558</v>
      </c>
      <c r="N120" s="309">
        <f>Quarts!H60</f>
        <v>0.47224489795918362</v>
      </c>
      <c r="O120" s="309">
        <f>Quarts!I60</f>
        <v>0.49509074680154724</v>
      </c>
      <c r="P120" s="309">
        <f>Quarts!J60</f>
        <v>0.4655853607818673</v>
      </c>
      <c r="Q120" s="309">
        <f>Quarts!K60</f>
        <v>0.3567742239833947</v>
      </c>
      <c r="R120" s="309">
        <f>Quarts!M60</f>
        <v>0.33523887254393481</v>
      </c>
      <c r="S120" s="309" t="e">
        <f>Quarts!#REF!</f>
        <v>#REF!</v>
      </c>
      <c r="T120" s="309" t="e">
        <f>Quarts!#REF!</f>
        <v>#REF!</v>
      </c>
      <c r="U120" s="309" t="e">
        <f>Quarts!#REF!</f>
        <v>#REF!</v>
      </c>
      <c r="V120" s="309" t="e">
        <f>Quarts!#REF!</f>
        <v>#REF!</v>
      </c>
      <c r="W120" s="309" t="e">
        <f>Quarts!#REF!</f>
        <v>#REF!</v>
      </c>
      <c r="X120" s="309" t="e">
        <f>Quarts!#REF!</f>
        <v>#REF!</v>
      </c>
      <c r="Y120" s="309" t="e">
        <f>Quarts!#REF!</f>
        <v>#REF!</v>
      </c>
      <c r="Z120" s="309">
        <f>Quarts!V60</f>
        <v>0.4349775784753363</v>
      </c>
      <c r="AA120" s="309">
        <f>Quarts!AB60</f>
        <v>0</v>
      </c>
      <c r="AB120" s="309">
        <f>Quarts!AC60</f>
        <v>0</v>
      </c>
      <c r="AC120" s="309">
        <f>Quarts!AD60</f>
        <v>0</v>
      </c>
      <c r="AD120" s="309">
        <f>Quarts!AE60</f>
        <v>0</v>
      </c>
    </row>
    <row r="122" spans="2:30" x14ac:dyDescent="0.5">
      <c r="C122" s="779" t="s">
        <v>693</v>
      </c>
      <c r="D122" s="779"/>
      <c r="E122" s="779"/>
      <c r="F122" s="779"/>
      <c r="G122" s="779"/>
      <c r="H122" s="779"/>
      <c r="I122" s="779"/>
      <c r="J122" s="779"/>
      <c r="K122" s="779" t="s">
        <v>560</v>
      </c>
      <c r="L122" s="779"/>
    </row>
    <row r="123" spans="2:30" x14ac:dyDescent="0.5">
      <c r="B123" s="79" t="s">
        <v>706</v>
      </c>
      <c r="C123" s="309">
        <f>Quarts!E60</f>
        <v>0.58718422674060389</v>
      </c>
      <c r="D123" s="309"/>
      <c r="E123" s="309"/>
      <c r="F123" s="309"/>
      <c r="G123" s="309"/>
      <c r="H123" s="309"/>
      <c r="I123" s="309"/>
      <c r="J123" s="309"/>
      <c r="K123" s="309">
        <f>Quarts!F60</f>
        <v>0.43113388853299178</v>
      </c>
      <c r="L123" s="309"/>
    </row>
    <row r="127" spans="2:30" ht="14.4" x14ac:dyDescent="0.55000000000000004">
      <c r="B127" s="337" t="s">
        <v>1491</v>
      </c>
      <c r="C127" s="396" t="s">
        <v>672</v>
      </c>
      <c r="D127" s="396" t="s">
        <v>374</v>
      </c>
      <c r="E127" s="396" t="s">
        <v>375</v>
      </c>
      <c r="F127" s="396" t="s">
        <v>376</v>
      </c>
      <c r="G127" s="396" t="s">
        <v>670</v>
      </c>
      <c r="H127" s="487" t="s">
        <v>867</v>
      </c>
      <c r="I127" s="819" t="s">
        <v>1007</v>
      </c>
      <c r="J127" s="842" t="s">
        <v>1008</v>
      </c>
      <c r="K127" s="895" t="s">
        <v>1009</v>
      </c>
      <c r="L127" s="895"/>
      <c r="M127" s="1061" t="str">
        <f>M133</f>
        <v>Q1 23</v>
      </c>
      <c r="N127" s="1061" t="str">
        <f>N133</f>
        <v>Q2 23</v>
      </c>
      <c r="O127" s="1061" t="str">
        <f>O133</f>
        <v>Q3 23</v>
      </c>
    </row>
    <row r="128" spans="2:30" x14ac:dyDescent="0.5">
      <c r="B128" s="336" t="s">
        <v>345</v>
      </c>
      <c r="C128" s="80">
        <f>Quarts!G285</f>
        <v>16214.121500000001</v>
      </c>
      <c r="D128" s="80">
        <f>Quarts!H285</f>
        <v>16872.931499999999</v>
      </c>
      <c r="E128" s="80">
        <f>Quarts!I285</f>
        <v>20310.7552</v>
      </c>
      <c r="F128" s="80">
        <f>Quarts!J285</f>
        <v>23774.587199999998</v>
      </c>
      <c r="G128" s="80">
        <f>Quarts!K285</f>
        <v>28833.4598682</v>
      </c>
      <c r="H128" s="80">
        <f>Quarts!M285</f>
        <v>32300.29866</v>
      </c>
      <c r="I128" s="80">
        <f>Quarts!N285</f>
        <v>37744.797419999995</v>
      </c>
      <c r="J128" s="80">
        <f>Quarts!O285</f>
        <v>42307.359015999995</v>
      </c>
      <c r="K128" s="80">
        <f>Quarts!P285</f>
        <v>49019.520000000004</v>
      </c>
      <c r="L128" s="80"/>
      <c r="M128" s="80">
        <f>Quarts!R285</f>
        <v>52998.439999999995</v>
      </c>
      <c r="N128" s="80">
        <f>Quarts!S285</f>
        <v>57776.98</v>
      </c>
      <c r="O128" s="80">
        <f>Quarts!T285</f>
        <v>62226.36</v>
      </c>
    </row>
    <row r="129" spans="2:15" x14ac:dyDescent="0.5">
      <c r="B129" s="342" t="s">
        <v>218</v>
      </c>
      <c r="C129" s="310">
        <f>Quarts!G286</f>
        <v>1044.8985</v>
      </c>
      <c r="D129" s="310">
        <f>Quarts!H286</f>
        <v>1712.6448</v>
      </c>
      <c r="E129" s="310">
        <f>Quarts!I286</f>
        <v>2942.0032000000001</v>
      </c>
      <c r="F129" s="310">
        <f>Quarts!J286</f>
        <v>4914.9386999999997</v>
      </c>
      <c r="G129" s="310">
        <f>Quarts!K286</f>
        <v>7763.4428268000001</v>
      </c>
      <c r="H129" s="310">
        <f>Quarts!M286</f>
        <v>9515.5500000000011</v>
      </c>
      <c r="I129" s="310">
        <f>Quarts!N286</f>
        <v>10236.23878</v>
      </c>
      <c r="J129" s="310">
        <f>Quarts!O286</f>
        <v>10315.092392500001</v>
      </c>
      <c r="K129" s="310">
        <f>Quarts!P286</f>
        <v>10417.44</v>
      </c>
      <c r="L129" s="310"/>
      <c r="M129" s="310">
        <f>Quarts!R286</f>
        <v>11820.16</v>
      </c>
      <c r="N129" s="310">
        <f>Quarts!S286</f>
        <v>13373.68</v>
      </c>
      <c r="O129" s="310">
        <f>Quarts!T286</f>
        <v>15578.529120000001</v>
      </c>
    </row>
    <row r="130" spans="2:15" x14ac:dyDescent="0.5">
      <c r="B130" s="336" t="s">
        <v>449</v>
      </c>
      <c r="C130" s="80">
        <f>Quarts!G288</f>
        <v>17259.02</v>
      </c>
      <c r="D130" s="80">
        <f>Quarts!H288</f>
        <v>18585.576300000001</v>
      </c>
      <c r="E130" s="80">
        <f>Quarts!I288</f>
        <v>23252.758399999999</v>
      </c>
      <c r="F130" s="80">
        <f>Quarts!J288</f>
        <v>28689.525900000001</v>
      </c>
      <c r="G130" s="80">
        <f>Quarts!K288</f>
        <v>36596.902694999997</v>
      </c>
      <c r="H130" s="80">
        <f>Quarts!M288</f>
        <v>41815.848660000003</v>
      </c>
      <c r="I130" s="80">
        <f>Quarts!N288</f>
        <v>47981.036200000002</v>
      </c>
      <c r="J130" s="80">
        <f>Quarts!O288</f>
        <v>52622.451408499997</v>
      </c>
      <c r="K130" s="80">
        <f>Quarts!P288</f>
        <v>59436.960000000006</v>
      </c>
      <c r="L130" s="80"/>
      <c r="M130" s="80">
        <f>Quarts!R288</f>
        <v>64818.6</v>
      </c>
      <c r="N130" s="80">
        <f>Quarts!S288</f>
        <v>71150.66</v>
      </c>
      <c r="O130" s="80">
        <f>Quarts!T288</f>
        <v>77804.889119999993</v>
      </c>
    </row>
    <row r="133" spans="2:15" ht="14.4" x14ac:dyDescent="0.55000000000000004">
      <c r="B133" s="337" t="s">
        <v>1011</v>
      </c>
      <c r="C133" s="396" t="s">
        <v>672</v>
      </c>
      <c r="D133" s="396" t="s">
        <v>374</v>
      </c>
      <c r="E133" s="396" t="s">
        <v>375</v>
      </c>
      <c r="F133" s="396" t="s">
        <v>376</v>
      </c>
      <c r="G133" s="396" t="s">
        <v>670</v>
      </c>
      <c r="H133" s="487" t="s">
        <v>867</v>
      </c>
      <c r="I133" s="819" t="s">
        <v>1007</v>
      </c>
      <c r="J133" s="842" t="s">
        <v>1008</v>
      </c>
      <c r="K133" s="895" t="s">
        <v>1009</v>
      </c>
      <c r="L133" s="895"/>
      <c r="M133" s="1061" t="s">
        <v>1014</v>
      </c>
      <c r="N133" s="1087" t="s">
        <v>1015</v>
      </c>
      <c r="O133" s="1143" t="s">
        <v>1016</v>
      </c>
    </row>
    <row r="134" spans="2:15" x14ac:dyDescent="0.5">
      <c r="B134" s="336" t="s">
        <v>345</v>
      </c>
      <c r="C134" s="80">
        <f>Quarts!G267</f>
        <v>15121.916650000001</v>
      </c>
      <c r="D134" s="80">
        <f>Quarts!H267</f>
        <v>18591.21</v>
      </c>
      <c r="E134" s="80">
        <f>Quarts!I267</f>
        <v>17890.559999999998</v>
      </c>
      <c r="F134" s="80">
        <f>Quarts!J267</f>
        <v>22106.338349999998</v>
      </c>
      <c r="G134" s="80">
        <f>Quarts!K267</f>
        <v>26655.1119</v>
      </c>
      <c r="H134" s="80">
        <f>Quarts!M267</f>
        <v>29549.16</v>
      </c>
      <c r="I134" s="80">
        <f>Quarts!N267</f>
        <v>34076.752200000003</v>
      </c>
      <c r="J134" s="80">
        <f>Quarts!O267</f>
        <v>37843.232393999999</v>
      </c>
      <c r="K134" s="80">
        <f>Quarts!P267</f>
        <v>43470.240000000005</v>
      </c>
      <c r="L134" s="80"/>
      <c r="M134" s="80">
        <f>Quarts!R267</f>
        <v>46339.479999999996</v>
      </c>
      <c r="N134" s="80">
        <f>Quarts!S267</f>
        <v>49758.52</v>
      </c>
      <c r="O134" s="80">
        <f>Quarts!T267</f>
        <v>52897.32</v>
      </c>
    </row>
    <row r="135" spans="2:15" x14ac:dyDescent="0.5">
      <c r="B135" s="342" t="s">
        <v>218</v>
      </c>
      <c r="C135" s="310">
        <f>Quarts!G268</f>
        <v>1051.7895348837208</v>
      </c>
      <c r="D135" s="310">
        <f>Quarts!H268</f>
        <v>2253.48</v>
      </c>
      <c r="E135" s="310">
        <f>Quarts!I268</f>
        <v>2981.7599999999998</v>
      </c>
      <c r="F135" s="310">
        <f>Quarts!J268</f>
        <v>4314.5868300000002</v>
      </c>
      <c r="G135" s="310">
        <f>Quarts!K268</f>
        <v>6662.0215979999994</v>
      </c>
      <c r="H135" s="310">
        <f>Quarts!M268</f>
        <v>7901.58</v>
      </c>
      <c r="I135" s="310">
        <f>Quarts!N268</f>
        <v>8814.5817599999991</v>
      </c>
      <c r="J135" s="310">
        <f>Quarts!O268</f>
        <v>8681.6151274999993</v>
      </c>
      <c r="K135" s="310">
        <f>Quarts!P268</f>
        <v>8833.44</v>
      </c>
      <c r="L135" s="310"/>
      <c r="M135" s="310">
        <f>Quarts!R268</f>
        <v>10221.199999999999</v>
      </c>
      <c r="N135" s="310">
        <f>Quarts!S268</f>
        <v>11654.07</v>
      </c>
      <c r="O135" s="310">
        <f>Quarts!T268</f>
        <v>13557.48912</v>
      </c>
    </row>
    <row r="136" spans="2:15" x14ac:dyDescent="0.5">
      <c r="B136" s="336" t="s">
        <v>1883</v>
      </c>
      <c r="C136" s="80">
        <f>Quarts!G270</f>
        <v>16173.706184883722</v>
      </c>
      <c r="D136" s="80">
        <f>Quarts!H270</f>
        <v>20844.690000000002</v>
      </c>
      <c r="E136" s="80">
        <f>Quarts!I270</f>
        <v>20872.32</v>
      </c>
      <c r="F136" s="80">
        <f>Quarts!J270</f>
        <v>26420.925179999998</v>
      </c>
      <c r="G136" s="80">
        <f>Quarts!K270</f>
        <v>33317.133497999996</v>
      </c>
      <c r="H136" s="80">
        <f>Quarts!M270</f>
        <v>37450.740000000005</v>
      </c>
      <c r="I136" s="80">
        <f>Quarts!N270</f>
        <v>42891.333959999996</v>
      </c>
      <c r="J136" s="80">
        <f>Quarts!O270</f>
        <v>46524.8475215</v>
      </c>
      <c r="K136" s="80">
        <f>Quarts!P270</f>
        <v>52303.68</v>
      </c>
      <c r="L136" s="80"/>
      <c r="M136" s="80">
        <f>Quarts!R270</f>
        <v>56560.679999999993</v>
      </c>
      <c r="N136" s="80">
        <f>Quarts!S270</f>
        <v>61412.590000000004</v>
      </c>
      <c r="O136" s="80">
        <f>Quarts!T270</f>
        <v>66454.809119999991</v>
      </c>
    </row>
    <row r="137" spans="2:15" x14ac:dyDescent="0.5">
      <c r="O137" s="309">
        <f>O136/N136-1</f>
        <v>8.210399724225903E-2</v>
      </c>
    </row>
    <row r="138" spans="2:15" x14ac:dyDescent="0.5">
      <c r="B138" s="336" t="s">
        <v>1882</v>
      </c>
      <c r="C138" s="80">
        <f>Quarts!G236</f>
        <v>3111.2255813953489</v>
      </c>
      <c r="D138" s="80">
        <f>Quarts!H236</f>
        <v>3700</v>
      </c>
      <c r="E138" s="80">
        <f>Quarts!I236</f>
        <v>4200</v>
      </c>
      <c r="F138" s="80">
        <f>Quarts!J236</f>
        <v>4854.2</v>
      </c>
      <c r="G138" s="80">
        <f>Quarts!K236</f>
        <v>5975.3099999999995</v>
      </c>
      <c r="H138" s="80">
        <f>Quarts!M236</f>
        <v>7901</v>
      </c>
      <c r="I138" s="80">
        <f>Quarts!N236</f>
        <v>8154.2460000000001</v>
      </c>
      <c r="J138" s="80">
        <f>Quarts!O236</f>
        <v>8591.0529999999999</v>
      </c>
      <c r="K138" s="80">
        <f>Quarts!P236</f>
        <v>9906</v>
      </c>
      <c r="L138" s="80"/>
      <c r="M138" s="80">
        <f>Quarts!R236</f>
        <v>11178</v>
      </c>
      <c r="N138" s="80">
        <f>Quarts!S236</f>
        <v>12821</v>
      </c>
      <c r="O138" s="80">
        <f>Quarts!T236</f>
        <v>13185.477999999999</v>
      </c>
    </row>
    <row r="139" spans="2:15" x14ac:dyDescent="0.5">
      <c r="O139" s="309">
        <f>O138/N138-1</f>
        <v>2.8428203728258161E-2</v>
      </c>
    </row>
    <row r="140" spans="2:15" x14ac:dyDescent="0.5">
      <c r="B140" s="79" t="s">
        <v>1884</v>
      </c>
      <c r="I140" s="80"/>
      <c r="J140" s="80">
        <v>4600</v>
      </c>
      <c r="K140" s="80">
        <v>5000</v>
      </c>
      <c r="L140" s="80"/>
      <c r="M140" s="80">
        <v>6300</v>
      </c>
      <c r="N140" s="80">
        <v>7300</v>
      </c>
      <c r="O140" s="80">
        <v>8900</v>
      </c>
    </row>
    <row r="141" spans="2:15" x14ac:dyDescent="0.5">
      <c r="O141" s="309"/>
    </row>
    <row r="143" spans="2:15" x14ac:dyDescent="0.5">
      <c r="B143" s="79" t="s">
        <v>1101</v>
      </c>
      <c r="F143" s="392"/>
      <c r="G143" s="392">
        <f>G136/C136-1</f>
        <v>1.0599566430320637</v>
      </c>
      <c r="H143" s="392">
        <f>H136/D136-1</f>
        <v>0.79665612681215214</v>
      </c>
      <c r="I143" s="392">
        <f>I136/E136-1</f>
        <v>1.0549385003679514</v>
      </c>
    </row>
    <row r="145" spans="3:12" x14ac:dyDescent="0.5">
      <c r="G145" s="392">
        <f>G136/F136-1</f>
        <v>0.26101312770153329</v>
      </c>
      <c r="H145" s="392">
        <f>H136/G136-1</f>
        <v>0.12406849173408463</v>
      </c>
      <c r="I145" s="392">
        <f>I136/H136-1</f>
        <v>0.14527333665502984</v>
      </c>
    </row>
    <row r="147" spans="3:12" x14ac:dyDescent="0.5">
      <c r="F147" s="392" t="e">
        <f t="shared" ref="F147:I149" si="31">F134/B134-1</f>
        <v>#VALUE!</v>
      </c>
      <c r="G147" s="392">
        <f t="shared" si="31"/>
        <v>0.76268078425098307</v>
      </c>
      <c r="H147" s="392">
        <f t="shared" si="31"/>
        <v>0.58941564319912487</v>
      </c>
      <c r="I147" s="392">
        <f t="shared" si="31"/>
        <v>0.90473368077913752</v>
      </c>
    </row>
    <row r="148" spans="3:12" x14ac:dyDescent="0.5">
      <c r="F148" s="392" t="e">
        <f t="shared" si="31"/>
        <v>#VALUE!</v>
      </c>
      <c r="G148" s="392">
        <f t="shared" si="31"/>
        <v>5.3339873397166961</v>
      </c>
      <c r="H148" s="392">
        <f t="shared" si="31"/>
        <v>2.5063901166196283</v>
      </c>
      <c r="I148" s="392">
        <f t="shared" si="31"/>
        <v>1.9561674179008368</v>
      </c>
    </row>
    <row r="149" spans="3:12" x14ac:dyDescent="0.5">
      <c r="F149" s="392" t="e">
        <f t="shared" si="31"/>
        <v>#VALUE!</v>
      </c>
      <c r="G149" s="392">
        <f t="shared" si="31"/>
        <v>1.0599566430320637</v>
      </c>
      <c r="H149" s="392">
        <f t="shared" si="31"/>
        <v>0.79665612681215214</v>
      </c>
      <c r="I149" s="392">
        <f t="shared" si="31"/>
        <v>1.0549385003679514</v>
      </c>
    </row>
    <row r="151" spans="3:12" x14ac:dyDescent="0.5">
      <c r="F151" s="79">
        <f t="shared" ref="F151:I153" si="32">F134/E134-1</f>
        <v>0.23564261543517939</v>
      </c>
      <c r="G151" s="79">
        <f t="shared" si="32"/>
        <v>0.20576784259705327</v>
      </c>
      <c r="H151" s="79">
        <f t="shared" si="32"/>
        <v>0.10857384920601287</v>
      </c>
      <c r="I151" s="79">
        <f t="shared" si="32"/>
        <v>0.15322236571191872</v>
      </c>
      <c r="J151" s="779"/>
      <c r="K151" s="779"/>
      <c r="L151" s="779"/>
    </row>
    <row r="152" spans="3:12" x14ac:dyDescent="0.5">
      <c r="F152" s="79">
        <f t="shared" si="32"/>
        <v>0.44699332944301373</v>
      </c>
      <c r="G152" s="79">
        <f t="shared" si="32"/>
        <v>0.54406942321288243</v>
      </c>
      <c r="H152" s="79">
        <f t="shared" si="32"/>
        <v>0.1860634018917211</v>
      </c>
      <c r="I152" s="79">
        <f t="shared" si="32"/>
        <v>0.11554673369123636</v>
      </c>
      <c r="J152" s="392"/>
      <c r="K152" s="392"/>
      <c r="L152" s="392"/>
    </row>
    <row r="153" spans="3:12" x14ac:dyDescent="0.5">
      <c r="F153" s="79">
        <f t="shared" si="32"/>
        <v>0.26583557457915541</v>
      </c>
      <c r="G153" s="79">
        <f t="shared" si="32"/>
        <v>0.26101312770153329</v>
      </c>
      <c r="H153" s="79">
        <f t="shared" si="32"/>
        <v>0.12406849173408463</v>
      </c>
      <c r="I153" s="79">
        <f t="shared" si="32"/>
        <v>0.14527333665502984</v>
      </c>
    </row>
    <row r="154" spans="3:12" x14ac:dyDescent="0.5">
      <c r="C154" s="779" t="s">
        <v>374</v>
      </c>
      <c r="D154" s="779"/>
      <c r="E154" s="779"/>
      <c r="F154" s="779"/>
      <c r="G154" s="779"/>
      <c r="H154" s="779"/>
      <c r="I154" s="779"/>
      <c r="J154" s="779"/>
      <c r="K154" s="779"/>
      <c r="L154" s="779"/>
    </row>
    <row r="155" spans="3:12" x14ac:dyDescent="0.5">
      <c r="C155" s="392">
        <v>0.13373438223044953</v>
      </c>
      <c r="D155" s="392"/>
      <c r="E155" s="392"/>
      <c r="F155" s="392"/>
      <c r="G155" s="392"/>
      <c r="H155" s="392"/>
      <c r="I155" s="392"/>
      <c r="J155" s="392"/>
      <c r="K155" s="392"/>
      <c r="L155" s="392"/>
    </row>
    <row r="169" spans="2:15" x14ac:dyDescent="0.5">
      <c r="B169" s="786"/>
      <c r="C169" s="780" t="s">
        <v>692</v>
      </c>
      <c r="D169" s="780" t="s">
        <v>693</v>
      </c>
      <c r="E169" s="780" t="s">
        <v>560</v>
      </c>
      <c r="F169" s="780" t="s">
        <v>672</v>
      </c>
      <c r="G169" s="780" t="s">
        <v>374</v>
      </c>
      <c r="H169" s="780" t="s">
        <v>375</v>
      </c>
      <c r="I169" s="780"/>
      <c r="J169" s="780"/>
      <c r="K169" s="780" t="s">
        <v>376</v>
      </c>
      <c r="L169" s="780"/>
      <c r="M169" s="780" t="s">
        <v>670</v>
      </c>
      <c r="N169" s="780" t="s">
        <v>867</v>
      </c>
      <c r="O169" s="780" t="s">
        <v>1007</v>
      </c>
    </row>
    <row r="170" spans="2:15" x14ac:dyDescent="0.5">
      <c r="B170" s="548" t="s">
        <v>984</v>
      </c>
      <c r="C170" s="787">
        <f>Quarts!D387</f>
        <v>0.05</v>
      </c>
      <c r="D170" s="787">
        <f>Quarts!E387</f>
        <v>6.2E-2</v>
      </c>
      <c r="E170" s="787">
        <f>Quarts!F387</f>
        <v>5.1999999999999998E-2</v>
      </c>
      <c r="F170" s="787">
        <f>Quarts!G387</f>
        <v>3.6999999999999998E-2</v>
      </c>
      <c r="G170" s="787">
        <f>Quarts!H387</f>
        <v>0.03</v>
      </c>
      <c r="H170" s="787">
        <f>Quarts!I387</f>
        <v>0.03</v>
      </c>
      <c r="I170" s="787"/>
      <c r="J170" s="787"/>
      <c r="K170" s="787">
        <f>Quarts!J387</f>
        <v>3.2000000000000001E-2</v>
      </c>
      <c r="L170" s="787"/>
      <c r="M170" s="787">
        <f>Quarts!K387</f>
        <v>3.1E-2</v>
      </c>
      <c r="N170" s="787">
        <f>Quarts!M387</f>
        <v>3.5000000000000003E-2</v>
      </c>
      <c r="O170" s="787">
        <f>Quarts!N387</f>
        <v>4.1000000000000002E-2</v>
      </c>
    </row>
    <row r="171" spans="2:15" x14ac:dyDescent="0.5">
      <c r="B171" s="548" t="s">
        <v>987</v>
      </c>
      <c r="C171" s="787">
        <f>Quarts!D388</f>
        <v>0.05</v>
      </c>
      <c r="D171" s="787">
        <f>Quarts!E388</f>
        <v>6.2E-2</v>
      </c>
      <c r="E171" s="787">
        <f>Quarts!F388</f>
        <v>5.2999999999999999E-2</v>
      </c>
      <c r="F171" s="787">
        <f>Quarts!G388</f>
        <v>3.9E-2</v>
      </c>
      <c r="G171" s="787">
        <f>Quarts!H388</f>
        <v>3.1E-2</v>
      </c>
      <c r="H171" s="787">
        <f>Quarts!I388</f>
        <v>3.2000000000000001E-2</v>
      </c>
      <c r="I171" s="787"/>
      <c r="J171" s="787"/>
      <c r="K171" s="787">
        <f>Quarts!J388</f>
        <v>3.5999999999999997E-2</v>
      </c>
      <c r="L171" s="787"/>
      <c r="M171" s="787">
        <f>Quarts!K388</f>
        <v>3.5999999999999997E-2</v>
      </c>
      <c r="N171" s="787">
        <f>Quarts!M388</f>
        <v>3.9E-2</v>
      </c>
      <c r="O171" s="787">
        <f>Quarts!N388</f>
        <v>4.3999999999999997E-2</v>
      </c>
    </row>
    <row r="172" spans="2:15" x14ac:dyDescent="0.5">
      <c r="B172" s="548"/>
      <c r="C172" s="787"/>
      <c r="D172" s="787"/>
      <c r="E172" s="787"/>
      <c r="F172" s="787"/>
      <c r="G172" s="787"/>
      <c r="H172" s="787"/>
      <c r="I172" s="787"/>
      <c r="J172" s="787"/>
      <c r="K172" s="787"/>
      <c r="L172" s="787"/>
      <c r="M172" s="787"/>
      <c r="N172" s="787"/>
      <c r="O172" s="787"/>
    </row>
    <row r="173" spans="2:15" x14ac:dyDescent="0.5">
      <c r="B173" s="548" t="s">
        <v>998</v>
      </c>
      <c r="C173" s="788"/>
      <c r="D173" s="788"/>
      <c r="E173" s="788"/>
      <c r="F173" s="789">
        <f>Quarts!G233</f>
        <v>2908.9</v>
      </c>
      <c r="G173" s="789">
        <f>Quarts!H233</f>
        <v>3300</v>
      </c>
      <c r="H173" s="789">
        <f>Quarts!I233</f>
        <v>3600</v>
      </c>
      <c r="I173" s="789"/>
      <c r="J173" s="789"/>
      <c r="K173" s="789">
        <f>Quarts!J233</f>
        <v>4061.5</v>
      </c>
      <c r="L173" s="789"/>
      <c r="M173" s="789">
        <f>Quarts!K233</f>
        <v>4780.5</v>
      </c>
      <c r="N173" s="789">
        <f>Quarts!M233</f>
        <v>6234</v>
      </c>
      <c r="O173" s="789">
        <f>Quarts!N233</f>
        <v>6478.47</v>
      </c>
    </row>
    <row r="174" spans="2:15" x14ac:dyDescent="0.5">
      <c r="B174" s="790" t="s">
        <v>999</v>
      </c>
      <c r="C174" s="791"/>
      <c r="D174" s="791"/>
      <c r="E174" s="791"/>
      <c r="F174" s="792">
        <f>Quarts!G234</f>
        <v>202.32558139534882</v>
      </c>
      <c r="G174" s="792">
        <f>Quarts!H234</f>
        <v>400</v>
      </c>
      <c r="H174" s="792">
        <f>Quarts!I234</f>
        <v>600</v>
      </c>
      <c r="I174" s="792"/>
      <c r="J174" s="792"/>
      <c r="K174" s="792">
        <f>Quarts!J234</f>
        <v>792.7</v>
      </c>
      <c r="L174" s="792"/>
      <c r="M174" s="792">
        <f>Quarts!K234</f>
        <v>1194.81</v>
      </c>
      <c r="N174" s="792">
        <f>Quarts!M234</f>
        <v>1667</v>
      </c>
      <c r="O174" s="792">
        <f>Quarts!N234</f>
        <v>1675.7760000000001</v>
      </c>
    </row>
    <row r="175" spans="2:15" x14ac:dyDescent="0.5">
      <c r="B175" s="545" t="s">
        <v>1005</v>
      </c>
      <c r="C175" s="787"/>
      <c r="D175" s="787"/>
      <c r="E175" s="787"/>
      <c r="F175" s="793">
        <f t="shared" ref="F175:O175" si="33">SUM(F173:F174)</f>
        <v>3111.2255813953489</v>
      </c>
      <c r="G175" s="793">
        <f t="shared" si="33"/>
        <v>3700</v>
      </c>
      <c r="H175" s="793">
        <f t="shared" si="33"/>
        <v>4200</v>
      </c>
      <c r="I175" s="793"/>
      <c r="J175" s="793"/>
      <c r="K175" s="793">
        <f t="shared" si="33"/>
        <v>4854.2</v>
      </c>
      <c r="L175" s="793"/>
      <c r="M175" s="793">
        <f t="shared" si="33"/>
        <v>5975.3099999999995</v>
      </c>
      <c r="N175" s="793">
        <f t="shared" si="33"/>
        <v>7901</v>
      </c>
      <c r="O175" s="793">
        <f t="shared" si="33"/>
        <v>8154.2460000000001</v>
      </c>
    </row>
    <row r="176" spans="2:15" x14ac:dyDescent="0.5">
      <c r="B176" s="548"/>
      <c r="C176" s="787"/>
      <c r="D176" s="787"/>
      <c r="E176" s="787"/>
      <c r="F176" s="787"/>
      <c r="G176" s="787"/>
      <c r="H176" s="787"/>
      <c r="I176" s="787"/>
      <c r="J176" s="787"/>
      <c r="K176" s="787"/>
      <c r="L176" s="787"/>
      <c r="M176" s="787"/>
      <c r="N176" s="787"/>
      <c r="O176" s="787"/>
    </row>
    <row r="177" spans="2:17" x14ac:dyDescent="0.5">
      <c r="B177" s="548" t="s">
        <v>996</v>
      </c>
      <c r="C177" s="788">
        <f>Quarts!D397</f>
        <v>0.96</v>
      </c>
      <c r="D177" s="788">
        <f>Quarts!E397</f>
        <v>0.95</v>
      </c>
      <c r="E177" s="788">
        <f>Quarts!F397</f>
        <v>0.94</v>
      </c>
      <c r="F177" s="788">
        <f>Quarts!G397</f>
        <v>0.93945783132530125</v>
      </c>
      <c r="G177" s="788">
        <f>Quarts!H397</f>
        <v>0.90785086389815095</v>
      </c>
      <c r="H177" s="788">
        <f>Quarts!I397</f>
        <v>0.87347723872622351</v>
      </c>
      <c r="I177" s="788"/>
      <c r="J177" s="788"/>
      <c r="K177" s="788">
        <f>Quarts!J397</f>
        <v>0.82868525896414347</v>
      </c>
      <c r="L177" s="788"/>
      <c r="M177" s="788">
        <f>Quarts!K397</f>
        <v>0.78786612376733534</v>
      </c>
      <c r="N177" s="788">
        <f>Quarts!M397</f>
        <v>0.77244154298123002</v>
      </c>
      <c r="O177" s="788">
        <f>Quarts!N397</f>
        <v>0.78666073951941873</v>
      </c>
    </row>
    <row r="178" spans="2:17" x14ac:dyDescent="0.5">
      <c r="B178" s="548" t="s">
        <v>997</v>
      </c>
      <c r="C178" s="788">
        <f>Quarts!D396</f>
        <v>0.04</v>
      </c>
      <c r="D178" s="788">
        <f>Quarts!E396</f>
        <v>0.05</v>
      </c>
      <c r="E178" s="788">
        <f>Quarts!F396</f>
        <v>0.06</v>
      </c>
      <c r="F178" s="788">
        <f>Quarts!G396</f>
        <v>6.0542168674698797E-2</v>
      </c>
      <c r="G178" s="788">
        <f>Quarts!H396</f>
        <v>9.214913610184905E-2</v>
      </c>
      <c r="H178" s="788">
        <f>Quarts!I396</f>
        <v>0.12652276127377646</v>
      </c>
      <c r="I178" s="788"/>
      <c r="J178" s="788"/>
      <c r="K178" s="788">
        <f>Quarts!J396</f>
        <v>0.17131474103585656</v>
      </c>
      <c r="L178" s="788"/>
      <c r="M178" s="788">
        <f>Quarts!K396</f>
        <v>0.21213387623266464</v>
      </c>
      <c r="N178" s="788">
        <f>Quarts!M396</f>
        <v>0.22755845701876998</v>
      </c>
      <c r="O178" s="788">
        <f>Quarts!N396</f>
        <v>0.21333926048058127</v>
      </c>
    </row>
    <row r="179" spans="2:17" x14ac:dyDescent="0.5">
      <c r="B179" s="548"/>
      <c r="C179" s="787"/>
      <c r="D179" s="787"/>
      <c r="E179" s="787"/>
      <c r="F179" s="787"/>
      <c r="G179" s="787"/>
      <c r="H179" s="787"/>
      <c r="I179" s="787"/>
      <c r="J179" s="787"/>
      <c r="K179" s="787"/>
      <c r="L179" s="787"/>
      <c r="M179" s="787"/>
      <c r="N179" s="787"/>
      <c r="O179" s="787"/>
    </row>
    <row r="180" spans="2:17" x14ac:dyDescent="0.5">
      <c r="B180" s="545" t="s">
        <v>995</v>
      </c>
      <c r="C180" s="787"/>
      <c r="D180" s="787"/>
      <c r="E180" s="787"/>
      <c r="F180" s="787"/>
      <c r="G180" s="787"/>
      <c r="H180" s="787"/>
      <c r="I180" s="787"/>
      <c r="J180" s="787"/>
      <c r="K180" s="787"/>
      <c r="L180" s="787"/>
      <c r="M180" s="787"/>
      <c r="N180" s="787"/>
      <c r="O180" s="787"/>
    </row>
    <row r="181" spans="2:17" x14ac:dyDescent="0.5">
      <c r="B181" s="545" t="s">
        <v>345</v>
      </c>
      <c r="C181" s="794">
        <f>Quarts!D402</f>
        <v>0.05</v>
      </c>
      <c r="D181" s="794">
        <f>Quarts!E402</f>
        <v>6.1999999999999986E-2</v>
      </c>
      <c r="E181" s="794">
        <f>Quarts!F402</f>
        <v>5.349397015738911E-2</v>
      </c>
      <c r="F181" s="794">
        <f>Quarts!G402</f>
        <v>3.9974781033685014E-2</v>
      </c>
      <c r="G181" s="794">
        <f>Quarts!H402</f>
        <v>3.1274352037559489E-2</v>
      </c>
      <c r="H181" s="794">
        <f>Quarts!I402</f>
        <v>3.2371911755959271E-2</v>
      </c>
      <c r="I181" s="794"/>
      <c r="J181" s="794"/>
      <c r="K181" s="794">
        <f>Quarts!J402</f>
        <v>3.6523872583593624E-2</v>
      </c>
      <c r="L181" s="794"/>
      <c r="M181" s="794">
        <f>Quarts!K402</f>
        <v>3.6515835619399965E-2</v>
      </c>
      <c r="N181" s="794">
        <f>Quarts!M402</f>
        <v>3.9382025121960311E-2</v>
      </c>
      <c r="O181" s="794">
        <f>Quarts!N402</f>
        <v>4.4307573378263666E-2</v>
      </c>
    </row>
    <row r="182" spans="2:17" x14ac:dyDescent="0.5">
      <c r="B182" s="795" t="s">
        <v>218</v>
      </c>
      <c r="C182" s="796">
        <f>Quarts!D403</f>
        <v>4.999999999999992E-2</v>
      </c>
      <c r="D182" s="796">
        <f>Quarts!E403</f>
        <v>6.2000000000000437E-2</v>
      </c>
      <c r="E182" s="796">
        <f>Quarts!F403</f>
        <v>2.8594467534237313E-2</v>
      </c>
      <c r="F182" s="796">
        <f>Quarts!G403</f>
        <v>-9.1609056918582274E-3</v>
      </c>
      <c r="G182" s="796">
        <f>Quarts!H403</f>
        <v>1.7445117261543554E-2</v>
      </c>
      <c r="H182" s="796">
        <f>Quarts!I403</f>
        <v>1.362499434695036E-2</v>
      </c>
      <c r="I182" s="796"/>
      <c r="J182" s="796"/>
      <c r="K182" s="796">
        <f>Quarts!J403</f>
        <v>1.0117081456105258E-2</v>
      </c>
      <c r="L182" s="796"/>
      <c r="M182" s="796">
        <f>Quarts!K403</f>
        <v>1.0514162914611182E-2</v>
      </c>
      <c r="N182" s="796">
        <f>Quarts!M403</f>
        <v>2.0125324319147073E-2</v>
      </c>
      <c r="O182" s="796">
        <f>Quarts!N403</f>
        <v>2.8803753918062593E-2</v>
      </c>
    </row>
    <row r="185" spans="2:17" ht="14.4" x14ac:dyDescent="0.55000000000000004">
      <c r="B185" s="483" t="s">
        <v>1018</v>
      </c>
      <c r="F185" s="780" t="s">
        <v>670</v>
      </c>
      <c r="G185" s="780" t="s">
        <v>867</v>
      </c>
      <c r="H185" s="780" t="s">
        <v>1007</v>
      </c>
      <c r="I185" s="780"/>
      <c r="J185" s="780"/>
      <c r="K185" s="780" t="s">
        <v>1008</v>
      </c>
      <c r="L185" s="780"/>
      <c r="M185" s="780" t="s">
        <v>1009</v>
      </c>
      <c r="N185" s="780" t="s">
        <v>1014</v>
      </c>
      <c r="O185" s="780" t="s">
        <v>1015</v>
      </c>
      <c r="P185" s="780" t="s">
        <v>1016</v>
      </c>
      <c r="Q185" s="780" t="s">
        <v>1017</v>
      </c>
    </row>
    <row r="186" spans="2:17" ht="14.4" x14ac:dyDescent="0.55000000000000004">
      <c r="B186" s="797" t="s">
        <v>345</v>
      </c>
      <c r="F186" s="392">
        <f>Quarts!K267/Quarts!G267-1</f>
        <v>0.76268078425098307</v>
      </c>
      <c r="G186" s="392">
        <f>Quarts!M267/Quarts!H267-1</f>
        <v>0.58941564319912487</v>
      </c>
      <c r="H186" s="392">
        <f>Quarts!N267/Quarts!I267-1</f>
        <v>0.90473368077913752</v>
      </c>
      <c r="I186" s="392"/>
      <c r="J186" s="392"/>
      <c r="K186" s="392" t="e">
        <f>Quarts!#REF!/Quarts!J267-1</f>
        <v>#REF!</v>
      </c>
      <c r="L186" s="392"/>
      <c r="M186" s="392" t="e">
        <f>Quarts!#REF!/Quarts!K267-1</f>
        <v>#REF!</v>
      </c>
      <c r="N186" s="392" t="e">
        <f>Quarts!#REF!/Quarts!M267-1</f>
        <v>#REF!</v>
      </c>
      <c r="O186" s="392" t="e">
        <f>Quarts!#REF!/Quarts!#REF!-1</f>
        <v>#REF!</v>
      </c>
      <c r="P186" s="392" t="e">
        <f>Quarts!#REF!/Quarts!#REF!-1</f>
        <v>#REF!</v>
      </c>
      <c r="Q186" s="392" t="e">
        <f>Quarts!#REF!/Quarts!#REF!-1</f>
        <v>#REF!</v>
      </c>
    </row>
    <row r="187" spans="2:17" ht="14.4" x14ac:dyDescent="0.55000000000000004">
      <c r="B187" s="798" t="s">
        <v>218</v>
      </c>
      <c r="C187" s="81"/>
      <c r="D187" s="81"/>
      <c r="E187" s="81"/>
      <c r="F187" s="785">
        <f>Quarts!K268/Quarts!G268-1</f>
        <v>5.3339873397166961</v>
      </c>
      <c r="G187" s="785">
        <f>Quarts!M268/Quarts!H268-1</f>
        <v>2.5063901166196283</v>
      </c>
      <c r="H187" s="785">
        <f>Quarts!N268/Quarts!I268-1</f>
        <v>1.9561674179008368</v>
      </c>
      <c r="I187" s="785"/>
      <c r="J187" s="785"/>
      <c r="K187" s="785" t="e">
        <f>Quarts!#REF!/Quarts!J268-1</f>
        <v>#REF!</v>
      </c>
      <c r="L187" s="785"/>
      <c r="M187" s="785" t="e">
        <f>Quarts!#REF!/Quarts!K268-1</f>
        <v>#REF!</v>
      </c>
      <c r="N187" s="785" t="e">
        <f>Quarts!#REF!/Quarts!M268-1</f>
        <v>#REF!</v>
      </c>
      <c r="O187" s="785" t="e">
        <f>Quarts!#REF!/Quarts!#REF!-1</f>
        <v>#REF!</v>
      </c>
      <c r="P187" s="785" t="e">
        <f>Quarts!#REF!/Quarts!#REF!-1</f>
        <v>#REF!</v>
      </c>
      <c r="Q187" s="785" t="e">
        <f>Quarts!#REF!/Quarts!#REF!-1</f>
        <v>#REF!</v>
      </c>
    </row>
    <row r="188" spans="2:17" ht="14.4" x14ac:dyDescent="0.55000000000000004">
      <c r="B188" s="40" t="s">
        <v>353</v>
      </c>
      <c r="C188" s="82"/>
      <c r="D188" s="82"/>
      <c r="E188" s="82"/>
      <c r="F188" s="799">
        <f>Quarts!K270/Quarts!G270-1</f>
        <v>1.0599566430320637</v>
      </c>
      <c r="G188" s="799">
        <f>Quarts!M270/Quarts!H270-1</f>
        <v>0.79665612681215214</v>
      </c>
      <c r="H188" s="799">
        <f>Quarts!N270/Quarts!I270-1</f>
        <v>1.0549385003679514</v>
      </c>
      <c r="I188" s="799"/>
      <c r="J188" s="799"/>
      <c r="K188" s="799" t="e">
        <f>Quarts!#REF!/Quarts!J270-1</f>
        <v>#REF!</v>
      </c>
      <c r="L188" s="799"/>
      <c r="M188" s="799" t="e">
        <f>Quarts!#REF!/Quarts!K270-1</f>
        <v>#REF!</v>
      </c>
      <c r="N188" s="799" t="e">
        <f>Quarts!#REF!/Quarts!M270-1</f>
        <v>#REF!</v>
      </c>
      <c r="O188" s="799" t="e">
        <f>Quarts!#REF!/Quarts!#REF!-1</f>
        <v>#REF!</v>
      </c>
      <c r="P188" s="799" t="e">
        <f>Quarts!#REF!/Quarts!#REF!-1</f>
        <v>#REF!</v>
      </c>
      <c r="Q188" s="799" t="e">
        <f>Quarts!#REF!/Quarts!#REF!-1</f>
        <v>#REF!</v>
      </c>
    </row>
    <row r="190" spans="2:17" x14ac:dyDescent="0.5">
      <c r="B190" s="79" t="s">
        <v>1019</v>
      </c>
    </row>
    <row r="191" spans="2:17" ht="14.4" x14ac:dyDescent="0.55000000000000004">
      <c r="B191" s="797" t="s">
        <v>345</v>
      </c>
      <c r="F191" s="392">
        <v>0.70012922656660259</v>
      </c>
      <c r="G191" s="392">
        <f t="shared" ref="G191:H193" si="34">N204/G204-1</f>
        <v>0.80324919689200991</v>
      </c>
      <c r="H191" s="392" t="e">
        <f t="shared" si="34"/>
        <v>#REF!</v>
      </c>
      <c r="I191" s="392"/>
      <c r="J191" s="392"/>
      <c r="K191" s="392" t="e">
        <f>P204/K204-1</f>
        <v>#REF!</v>
      </c>
      <c r="L191" s="392"/>
      <c r="M191" s="392" t="e">
        <f t="shared" ref="M191:Q193" si="35">Q204/M204-1</f>
        <v>#REF!</v>
      </c>
      <c r="N191" s="392" t="e">
        <f t="shared" si="35"/>
        <v>#REF!</v>
      </c>
      <c r="O191" s="392" t="e">
        <f t="shared" si="35"/>
        <v>#REF!</v>
      </c>
      <c r="P191" s="392" t="e">
        <f t="shared" si="35"/>
        <v>#REF!</v>
      </c>
      <c r="Q191" s="392" t="e">
        <f t="shared" si="35"/>
        <v>#REF!</v>
      </c>
    </row>
    <row r="192" spans="2:17" ht="14.4" x14ac:dyDescent="0.55000000000000004">
      <c r="B192" s="798" t="s">
        <v>218</v>
      </c>
      <c r="C192" s="81"/>
      <c r="D192" s="81"/>
      <c r="E192" s="81"/>
      <c r="F192" s="785">
        <v>5.1092047719063558</v>
      </c>
      <c r="G192" s="785">
        <f t="shared" si="34"/>
        <v>2.9788335165826072</v>
      </c>
      <c r="H192" s="785" t="e">
        <f t="shared" si="34"/>
        <v>#REF!</v>
      </c>
      <c r="I192" s="785"/>
      <c r="J192" s="785"/>
      <c r="K192" s="785" t="e">
        <f>P205/K205-1</f>
        <v>#REF!</v>
      </c>
      <c r="L192" s="785"/>
      <c r="M192" s="785" t="e">
        <f t="shared" si="35"/>
        <v>#REF!</v>
      </c>
      <c r="N192" s="785" t="e">
        <f t="shared" si="35"/>
        <v>#REF!</v>
      </c>
      <c r="O192" s="785" t="e">
        <f t="shared" si="35"/>
        <v>#REF!</v>
      </c>
      <c r="P192" s="785" t="e">
        <f t="shared" si="35"/>
        <v>#REF!</v>
      </c>
      <c r="Q192" s="785" t="e">
        <f t="shared" si="35"/>
        <v>#REF!</v>
      </c>
    </row>
    <row r="193" spans="2:23" ht="14.4" x14ac:dyDescent="0.55000000000000004">
      <c r="B193" s="40" t="s">
        <v>353</v>
      </c>
      <c r="C193" s="82"/>
      <c r="D193" s="82"/>
      <c r="E193" s="82"/>
      <c r="F193" s="799">
        <v>0.98685442302452797</v>
      </c>
      <c r="G193" s="799">
        <f t="shared" si="34"/>
        <v>1.0384475017234256</v>
      </c>
      <c r="H193" s="799" t="e">
        <f t="shared" si="34"/>
        <v>#REF!</v>
      </c>
      <c r="I193" s="799"/>
      <c r="J193" s="799"/>
      <c r="K193" s="799" t="e">
        <f>P206/K206-1</f>
        <v>#REF!</v>
      </c>
      <c r="L193" s="799"/>
      <c r="M193" s="799" t="e">
        <f t="shared" si="35"/>
        <v>#REF!</v>
      </c>
      <c r="N193" s="799" t="e">
        <f t="shared" si="35"/>
        <v>#REF!</v>
      </c>
      <c r="O193" s="799" t="e">
        <f t="shared" si="35"/>
        <v>#REF!</v>
      </c>
      <c r="P193" s="799" t="e">
        <f t="shared" si="35"/>
        <v>#REF!</v>
      </c>
      <c r="Q193" s="799" t="e">
        <f t="shared" si="35"/>
        <v>#REF!</v>
      </c>
    </row>
    <row r="196" spans="2:23" x14ac:dyDescent="0.5">
      <c r="B196" s="79" t="s">
        <v>1020</v>
      </c>
      <c r="F196" s="780" t="s">
        <v>672</v>
      </c>
      <c r="G196" s="780" t="s">
        <v>374</v>
      </c>
      <c r="H196" s="780" t="s">
        <v>375</v>
      </c>
      <c r="I196" s="780"/>
      <c r="J196" s="780"/>
      <c r="K196" s="780" t="s">
        <v>376</v>
      </c>
      <c r="L196" s="780"/>
      <c r="M196" s="780" t="s">
        <v>670</v>
      </c>
      <c r="N196" s="780" t="s">
        <v>867</v>
      </c>
      <c r="O196" s="780" t="s">
        <v>1007</v>
      </c>
      <c r="P196" s="780" t="s">
        <v>1008</v>
      </c>
      <c r="Q196" s="780" t="s">
        <v>1009</v>
      </c>
      <c r="R196" s="780" t="s">
        <v>1014</v>
      </c>
      <c r="S196" s="780" t="s">
        <v>1015</v>
      </c>
      <c r="T196" s="780" t="s">
        <v>1016</v>
      </c>
      <c r="U196" s="780" t="s">
        <v>1017</v>
      </c>
    </row>
    <row r="197" spans="2:23" ht="14.4" x14ac:dyDescent="0.55000000000000004">
      <c r="B197" s="797" t="s">
        <v>345</v>
      </c>
      <c r="F197" s="79">
        <v>2908.9070000000002</v>
      </c>
      <c r="G197" s="79">
        <v>3300</v>
      </c>
      <c r="H197" s="79">
        <v>3819.8955000000001</v>
      </c>
      <c r="K197" s="79">
        <v>4061.5</v>
      </c>
      <c r="M197" s="80">
        <v>4780.5200000000004</v>
      </c>
      <c r="N197" s="80">
        <v>6234.8239999999996</v>
      </c>
      <c r="O197" s="80">
        <v>7145.076596646506</v>
      </c>
      <c r="P197" s="80">
        <v>7944.9235156352188</v>
      </c>
      <c r="Q197" s="80">
        <v>9110.3029376306895</v>
      </c>
      <c r="R197" s="80">
        <v>9849.3305564187958</v>
      </c>
      <c r="S197" s="80">
        <v>10962.225250824349</v>
      </c>
      <c r="T197" s="80">
        <v>12148.206442700384</v>
      </c>
      <c r="U197" s="80">
        <v>13729.62781056625</v>
      </c>
    </row>
    <row r="198" spans="2:23" ht="14.4" x14ac:dyDescent="0.55000000000000004">
      <c r="B198" s="798" t="s">
        <v>218</v>
      </c>
      <c r="C198" s="81"/>
      <c r="D198" s="81"/>
      <c r="E198" s="81"/>
      <c r="F198" s="81">
        <v>202.32558139534882</v>
      </c>
      <c r="G198" s="81">
        <v>400</v>
      </c>
      <c r="H198" s="81">
        <v>600</v>
      </c>
      <c r="I198" s="81"/>
      <c r="J198" s="81"/>
      <c r="K198" s="81">
        <v>792.7</v>
      </c>
      <c r="L198" s="81"/>
      <c r="M198" s="310">
        <v>1194.81</v>
      </c>
      <c r="N198" s="310">
        <v>1667.5170000000001</v>
      </c>
      <c r="O198" s="310">
        <v>2039.9709455646087</v>
      </c>
      <c r="P198" s="310">
        <v>2333.8754918070986</v>
      </c>
      <c r="Q198" s="310">
        <v>2647.5979025444144</v>
      </c>
      <c r="R198" s="310">
        <v>2982.2562825568184</v>
      </c>
      <c r="S198" s="310">
        <v>3369.0724471808135</v>
      </c>
      <c r="T198" s="310">
        <v>3812.85947221365</v>
      </c>
      <c r="U198" s="310">
        <v>4326.9400925205418</v>
      </c>
    </row>
    <row r="199" spans="2:23" ht="14.4" x14ac:dyDescent="0.55000000000000004">
      <c r="B199" s="40" t="s">
        <v>353</v>
      </c>
      <c r="F199" s="80">
        <f>F198+F197</f>
        <v>3111.2325813953489</v>
      </c>
      <c r="G199" s="80">
        <f>G198+G197</f>
        <v>3700</v>
      </c>
      <c r="H199" s="80">
        <f>H198+H197</f>
        <v>4419.8955000000005</v>
      </c>
      <c r="I199" s="80"/>
      <c r="J199" s="80"/>
      <c r="K199" s="80">
        <f>K198+K197</f>
        <v>4854.2</v>
      </c>
      <c r="L199" s="80"/>
      <c r="M199" s="80">
        <f>M198+M197</f>
        <v>5975.33</v>
      </c>
      <c r="N199" s="80">
        <f t="shared" ref="N199:U199" si="36">N198+N197</f>
        <v>7902.3409999999994</v>
      </c>
      <c r="O199" s="80">
        <f t="shared" si="36"/>
        <v>9185.047542211114</v>
      </c>
      <c r="P199" s="80">
        <f t="shared" si="36"/>
        <v>10278.799007442318</v>
      </c>
      <c r="Q199" s="80">
        <f t="shared" si="36"/>
        <v>11757.900840175103</v>
      </c>
      <c r="R199" s="80">
        <f t="shared" si="36"/>
        <v>12831.586838975614</v>
      </c>
      <c r="S199" s="80">
        <f t="shared" si="36"/>
        <v>14331.297698005163</v>
      </c>
      <c r="T199" s="80">
        <f t="shared" si="36"/>
        <v>15961.065914914034</v>
      </c>
      <c r="U199" s="80">
        <f t="shared" si="36"/>
        <v>18056.56790308679</v>
      </c>
    </row>
    <row r="200" spans="2:23" ht="14.4" x14ac:dyDescent="0.55000000000000004">
      <c r="B200" s="40"/>
      <c r="F200" s="143"/>
      <c r="G200" s="143"/>
      <c r="H200" s="143"/>
      <c r="I200" s="143"/>
      <c r="J200" s="143"/>
      <c r="K200" s="143"/>
      <c r="L200" s="143"/>
      <c r="M200" s="143"/>
      <c r="N200" s="143"/>
      <c r="O200" s="143"/>
    </row>
    <row r="201" spans="2:23" x14ac:dyDescent="0.5">
      <c r="B201" s="79" t="s">
        <v>256</v>
      </c>
      <c r="F201" s="800">
        <f>Quarts!G50</f>
        <v>5.3990742424242431</v>
      </c>
      <c r="G201" s="800">
        <f>Quarts!H50</f>
        <v>5.4777406249999983</v>
      </c>
      <c r="H201" s="800">
        <f>Quarts!I50</f>
        <v>5.2967830769230799</v>
      </c>
      <c r="I201" s="800"/>
      <c r="J201" s="800"/>
      <c r="K201" s="800">
        <f>Quarts!J50</f>
        <v>5.2313954545454555</v>
      </c>
      <c r="L201" s="800"/>
      <c r="M201" s="800">
        <f>Quarts!K50</f>
        <v>5.5854212121212115</v>
      </c>
      <c r="N201" s="800">
        <f>Quarts!M50</f>
        <v>5.2281369230769217</v>
      </c>
      <c r="O201" s="800" t="e">
        <f>Quarts!#REF!</f>
        <v>#REF!</v>
      </c>
      <c r="P201" s="800" t="e">
        <f>Quarts!#REF!</f>
        <v>#REF!</v>
      </c>
      <c r="Q201" s="800" t="e">
        <f>Quarts!#REF!</f>
        <v>#REF!</v>
      </c>
      <c r="R201" s="800" t="e">
        <f>Quarts!#REF!</f>
        <v>#REF!</v>
      </c>
      <c r="S201" s="800" t="e">
        <f>Quarts!#REF!</f>
        <v>#REF!</v>
      </c>
      <c r="T201" s="800" t="e">
        <f>Quarts!#REF!</f>
        <v>#REF!</v>
      </c>
      <c r="U201" s="800" t="e">
        <f>Quarts!#REF!</f>
        <v>#REF!</v>
      </c>
    </row>
    <row r="203" spans="2:23" x14ac:dyDescent="0.5">
      <c r="B203" s="79" t="s">
        <v>1021</v>
      </c>
      <c r="F203" s="780" t="s">
        <v>672</v>
      </c>
      <c r="G203" s="780" t="s">
        <v>374</v>
      </c>
      <c r="H203" s="780" t="s">
        <v>375</v>
      </c>
      <c r="I203" s="780"/>
      <c r="J203" s="780"/>
      <c r="K203" s="780" t="s">
        <v>376</v>
      </c>
      <c r="L203" s="780"/>
      <c r="M203" s="780" t="s">
        <v>670</v>
      </c>
      <c r="N203" s="780" t="s">
        <v>867</v>
      </c>
      <c r="O203" s="780" t="s">
        <v>1007</v>
      </c>
      <c r="P203" s="780" t="s">
        <v>1008</v>
      </c>
      <c r="Q203" s="780" t="s">
        <v>1009</v>
      </c>
      <c r="R203" s="780" t="s">
        <v>1014</v>
      </c>
      <c r="S203" s="780" t="s">
        <v>1015</v>
      </c>
      <c r="T203" s="780" t="s">
        <v>1016</v>
      </c>
      <c r="U203" s="780" t="s">
        <v>1017</v>
      </c>
    </row>
    <row r="204" spans="2:23" ht="14.4" x14ac:dyDescent="0.55000000000000004">
      <c r="B204" s="797" t="s">
        <v>345</v>
      </c>
      <c r="F204" s="80">
        <f t="shared" ref="F204:K205" si="37">F197*F$201</f>
        <v>15705.404857307578</v>
      </c>
      <c r="G204" s="80">
        <f t="shared" si="37"/>
        <v>18076.544062499994</v>
      </c>
      <c r="H204" s="80">
        <f t="shared" si="37"/>
        <v>20233.157840014628</v>
      </c>
      <c r="I204" s="80"/>
      <c r="J204" s="80"/>
      <c r="K204" s="80">
        <f t="shared" si="37"/>
        <v>21247.312638636369</v>
      </c>
      <c r="L204" s="80"/>
      <c r="M204" s="80">
        <f t="shared" ref="M204:U204" si="38">M197*M$201</f>
        <v>26701.217812969695</v>
      </c>
      <c r="N204" s="80">
        <f t="shared" si="38"/>
        <v>32596.513563286142</v>
      </c>
      <c r="O204" s="80" t="e">
        <f t="shared" si="38"/>
        <v>#REF!</v>
      </c>
      <c r="P204" s="80" t="e">
        <f t="shared" si="38"/>
        <v>#REF!</v>
      </c>
      <c r="Q204" s="80" t="e">
        <f t="shared" si="38"/>
        <v>#REF!</v>
      </c>
      <c r="R204" s="80" t="e">
        <f t="shared" si="38"/>
        <v>#REF!</v>
      </c>
      <c r="S204" s="80" t="e">
        <f t="shared" si="38"/>
        <v>#REF!</v>
      </c>
      <c r="T204" s="80" t="e">
        <f t="shared" si="38"/>
        <v>#REF!</v>
      </c>
      <c r="U204" s="80" t="e">
        <f t="shared" si="38"/>
        <v>#REF!</v>
      </c>
    </row>
    <row r="205" spans="2:23" ht="14.4" x14ac:dyDescent="0.55000000000000004">
      <c r="B205" s="798" t="s">
        <v>218</v>
      </c>
      <c r="F205" s="310">
        <f t="shared" si="37"/>
        <v>1092.3708350951374</v>
      </c>
      <c r="G205" s="310">
        <f t="shared" si="37"/>
        <v>2191.0962499999991</v>
      </c>
      <c r="H205" s="310">
        <f t="shared" si="37"/>
        <v>3178.0698461538482</v>
      </c>
      <c r="I205" s="310"/>
      <c r="J205" s="310"/>
      <c r="K205" s="310">
        <f t="shared" si="37"/>
        <v>4146.9271768181825</v>
      </c>
      <c r="L205" s="310"/>
      <c r="M205" s="310">
        <f t="shared" ref="M205:U205" si="39">M198*M$201</f>
        <v>6673.5171184545443</v>
      </c>
      <c r="N205" s="310">
        <f t="shared" si="39"/>
        <v>8718.0071975584597</v>
      </c>
      <c r="O205" s="310" t="e">
        <f t="shared" si="39"/>
        <v>#REF!</v>
      </c>
      <c r="P205" s="310" t="e">
        <f t="shared" si="39"/>
        <v>#REF!</v>
      </c>
      <c r="Q205" s="310" t="e">
        <f t="shared" si="39"/>
        <v>#REF!</v>
      </c>
      <c r="R205" s="310" t="e">
        <f t="shared" si="39"/>
        <v>#REF!</v>
      </c>
      <c r="S205" s="310" t="e">
        <f t="shared" si="39"/>
        <v>#REF!</v>
      </c>
      <c r="T205" s="310" t="e">
        <f t="shared" si="39"/>
        <v>#REF!</v>
      </c>
      <c r="U205" s="310" t="e">
        <f t="shared" si="39"/>
        <v>#REF!</v>
      </c>
      <c r="W205" s="80"/>
    </row>
    <row r="206" spans="2:23" ht="14.4" x14ac:dyDescent="0.55000000000000004">
      <c r="B206" s="40" t="s">
        <v>353</v>
      </c>
      <c r="F206" s="80">
        <f>F201*F199</f>
        <v>16797.775692402716</v>
      </c>
      <c r="G206" s="80">
        <f>G201*G199</f>
        <v>20267.640312499992</v>
      </c>
      <c r="H206" s="80">
        <f>H201*H199</f>
        <v>23411.227686168477</v>
      </c>
      <c r="I206" s="80"/>
      <c r="J206" s="80"/>
      <c r="K206" s="80">
        <f>K201*K199</f>
        <v>25394.239815454548</v>
      </c>
      <c r="L206" s="80"/>
      <c r="M206" s="80">
        <f t="shared" ref="M206:U206" si="40">M201*M199</f>
        <v>33374.734931424238</v>
      </c>
      <c r="N206" s="80">
        <f t="shared" si="40"/>
        <v>41314.5207608446</v>
      </c>
      <c r="O206" s="80" t="e">
        <f t="shared" si="40"/>
        <v>#REF!</v>
      </c>
      <c r="P206" s="80" t="e">
        <f t="shared" si="40"/>
        <v>#REF!</v>
      </c>
      <c r="Q206" s="80" t="e">
        <f t="shared" si="40"/>
        <v>#REF!</v>
      </c>
      <c r="R206" s="80" t="e">
        <f t="shared" si="40"/>
        <v>#REF!</v>
      </c>
      <c r="S206" s="80" t="e">
        <f t="shared" si="40"/>
        <v>#REF!</v>
      </c>
      <c r="T206" s="80" t="e">
        <f t="shared" si="40"/>
        <v>#REF!</v>
      </c>
      <c r="U206" s="80" t="e">
        <f t="shared" si="40"/>
        <v>#REF!</v>
      </c>
      <c r="V206" s="80"/>
    </row>
    <row r="207" spans="2:23" x14ac:dyDescent="0.5">
      <c r="W207" s="780" t="s">
        <v>1017</v>
      </c>
    </row>
    <row r="208" spans="2:23" x14ac:dyDescent="0.5">
      <c r="B208" s="786" t="s">
        <v>1023</v>
      </c>
      <c r="C208" s="780" t="s">
        <v>1025</v>
      </c>
      <c r="D208" s="780" t="s">
        <v>1026</v>
      </c>
      <c r="E208" s="780" t="s">
        <v>1027</v>
      </c>
      <c r="F208" s="780" t="s">
        <v>1028</v>
      </c>
      <c r="G208" s="780" t="s">
        <v>1029</v>
      </c>
      <c r="H208" s="780" t="s">
        <v>1030</v>
      </c>
      <c r="I208" s="780"/>
      <c r="J208" s="780"/>
      <c r="K208" s="780" t="s">
        <v>1031</v>
      </c>
      <c r="L208" s="1243"/>
      <c r="Q208" s="780" t="s">
        <v>1007</v>
      </c>
      <c r="R208" s="780" t="s">
        <v>1008</v>
      </c>
      <c r="S208" s="780" t="s">
        <v>1009</v>
      </c>
      <c r="T208" s="780" t="s">
        <v>1014</v>
      </c>
      <c r="U208" s="780" t="s">
        <v>1015</v>
      </c>
      <c r="V208" s="780" t="s">
        <v>1016</v>
      </c>
      <c r="W208" s="392" t="e">
        <f>Q186</f>
        <v>#REF!</v>
      </c>
    </row>
    <row r="209" spans="2:23" x14ac:dyDescent="0.5">
      <c r="B209" s="548" t="s">
        <v>345</v>
      </c>
      <c r="C209" s="801" t="e">
        <f>Quarts!#REF!</f>
        <v>#REF!</v>
      </c>
      <c r="D209" s="801" t="e">
        <f>Quarts!#REF!</f>
        <v>#REF!</v>
      </c>
      <c r="E209" s="801" t="e">
        <f>Quarts!#REF!</f>
        <v>#REF!</v>
      </c>
      <c r="F209" s="801" t="e">
        <f>Quarts!#REF!</f>
        <v>#REF!</v>
      </c>
      <c r="G209" s="801" t="e">
        <f>Quarts!#REF!</f>
        <v>#REF!</v>
      </c>
      <c r="H209" s="801" t="e">
        <f>Quarts!#REF!</f>
        <v>#REF!</v>
      </c>
      <c r="I209" s="801"/>
      <c r="J209" s="801"/>
      <c r="K209" s="801" t="e">
        <f>Quarts!#REF!</f>
        <v>#REF!</v>
      </c>
      <c r="L209" s="801"/>
      <c r="Q209" s="392">
        <f>H186</f>
        <v>0.90473368077913752</v>
      </c>
      <c r="R209" s="392" t="e">
        <f>K186</f>
        <v>#REF!</v>
      </c>
      <c r="S209" s="392" t="e">
        <f t="shared" ref="S209:V211" si="41">M186</f>
        <v>#REF!</v>
      </c>
      <c r="T209" s="392" t="e">
        <f t="shared" si="41"/>
        <v>#REF!</v>
      </c>
      <c r="U209" s="392" t="e">
        <f t="shared" si="41"/>
        <v>#REF!</v>
      </c>
      <c r="V209" s="392" t="e">
        <f t="shared" si="41"/>
        <v>#REF!</v>
      </c>
      <c r="W209" s="785" t="e">
        <f>Q187</f>
        <v>#REF!</v>
      </c>
    </row>
    <row r="210" spans="2:23" x14ac:dyDescent="0.5">
      <c r="B210" s="790" t="s">
        <v>218</v>
      </c>
      <c r="C210" s="802" t="e">
        <f>Quarts!#REF!</f>
        <v>#REF!</v>
      </c>
      <c r="D210" s="802" t="e">
        <f>Quarts!#REF!</f>
        <v>#REF!</v>
      </c>
      <c r="E210" s="802" t="e">
        <f>Quarts!#REF!</f>
        <v>#REF!</v>
      </c>
      <c r="F210" s="802" t="e">
        <f>Quarts!#REF!</f>
        <v>#REF!</v>
      </c>
      <c r="G210" s="802" t="e">
        <f>Quarts!#REF!</f>
        <v>#REF!</v>
      </c>
      <c r="H210" s="802" t="e">
        <f>Quarts!#REF!</f>
        <v>#REF!</v>
      </c>
      <c r="I210" s="802"/>
      <c r="J210" s="802"/>
      <c r="K210" s="802" t="e">
        <f>Quarts!#REF!</f>
        <v>#REF!</v>
      </c>
      <c r="L210" s="1244"/>
      <c r="Q210" s="785">
        <f>H187</f>
        <v>1.9561674179008368</v>
      </c>
      <c r="R210" s="785" t="e">
        <f>K187</f>
        <v>#REF!</v>
      </c>
      <c r="S210" s="785" t="e">
        <f t="shared" si="41"/>
        <v>#REF!</v>
      </c>
      <c r="T210" s="785" t="e">
        <f t="shared" si="41"/>
        <v>#REF!</v>
      </c>
      <c r="U210" s="785" t="e">
        <f t="shared" si="41"/>
        <v>#REF!</v>
      </c>
      <c r="V210" s="785" t="e">
        <f t="shared" si="41"/>
        <v>#REF!</v>
      </c>
      <c r="W210" s="392" t="e">
        <f>Q188</f>
        <v>#REF!</v>
      </c>
    </row>
    <row r="211" spans="2:23" x14ac:dyDescent="0.5">
      <c r="B211" s="548" t="s">
        <v>353</v>
      </c>
      <c r="C211" s="801" t="e">
        <f>Quarts!#REF!</f>
        <v>#REF!</v>
      </c>
      <c r="D211" s="801" t="e">
        <f>Quarts!#REF!</f>
        <v>#REF!</v>
      </c>
      <c r="E211" s="801" t="e">
        <f>Quarts!#REF!</f>
        <v>#REF!</v>
      </c>
      <c r="F211" s="801" t="e">
        <f>Quarts!#REF!</f>
        <v>#REF!</v>
      </c>
      <c r="G211" s="801" t="e">
        <f>Quarts!#REF!</f>
        <v>#REF!</v>
      </c>
      <c r="H211" s="801" t="e">
        <f>Quarts!#REF!</f>
        <v>#REF!</v>
      </c>
      <c r="I211" s="801"/>
      <c r="J211" s="801"/>
      <c r="K211" s="801" t="e">
        <f>Quarts!#REF!</f>
        <v>#REF!</v>
      </c>
      <c r="L211" s="801"/>
      <c r="Q211" s="392">
        <f>H188</f>
        <v>1.0549385003679514</v>
      </c>
      <c r="R211" s="392" t="e">
        <f>K188</f>
        <v>#REF!</v>
      </c>
      <c r="S211" s="392" t="e">
        <f t="shared" si="41"/>
        <v>#REF!</v>
      </c>
      <c r="T211" s="392" t="e">
        <f t="shared" si="41"/>
        <v>#REF!</v>
      </c>
      <c r="U211" s="392" t="e">
        <f t="shared" si="41"/>
        <v>#REF!</v>
      </c>
      <c r="V211" s="392" t="e">
        <f t="shared" si="41"/>
        <v>#REF!</v>
      </c>
    </row>
    <row r="213" spans="2:23" x14ac:dyDescent="0.5">
      <c r="B213" s="786" t="s">
        <v>1024</v>
      </c>
      <c r="C213" s="780" t="s">
        <v>1025</v>
      </c>
      <c r="D213" s="780" t="s">
        <v>1026</v>
      </c>
      <c r="E213" s="780" t="s">
        <v>1027</v>
      </c>
      <c r="F213" s="780" t="s">
        <v>1028</v>
      </c>
      <c r="G213" s="780" t="s">
        <v>1029</v>
      </c>
      <c r="H213" s="780" t="s">
        <v>1030</v>
      </c>
      <c r="I213" s="780"/>
      <c r="J213" s="780"/>
      <c r="K213" s="780" t="s">
        <v>1031</v>
      </c>
      <c r="L213" s="1243"/>
    </row>
    <row r="214" spans="2:23" x14ac:dyDescent="0.5">
      <c r="B214" s="548" t="s">
        <v>345</v>
      </c>
      <c r="C214" s="801" t="e">
        <f t="shared" ref="C214:H216" si="42">O204</f>
        <v>#REF!</v>
      </c>
      <c r="D214" s="801" t="e">
        <f t="shared" si="42"/>
        <v>#REF!</v>
      </c>
      <c r="E214" s="801" t="e">
        <f t="shared" si="42"/>
        <v>#REF!</v>
      </c>
      <c r="F214" s="801" t="e">
        <f t="shared" si="42"/>
        <v>#REF!</v>
      </c>
      <c r="G214" s="801" t="e">
        <f t="shared" si="42"/>
        <v>#REF!</v>
      </c>
      <c r="H214" s="801" t="e">
        <f t="shared" si="42"/>
        <v>#REF!</v>
      </c>
      <c r="I214" s="801"/>
      <c r="J214" s="801"/>
      <c r="K214" s="801" t="e">
        <f>U204</f>
        <v>#REF!</v>
      </c>
      <c r="L214" s="801"/>
    </row>
    <row r="215" spans="2:23" x14ac:dyDescent="0.5">
      <c r="B215" s="790" t="s">
        <v>218</v>
      </c>
      <c r="C215" s="802" t="e">
        <f t="shared" si="42"/>
        <v>#REF!</v>
      </c>
      <c r="D215" s="802" t="e">
        <f t="shared" si="42"/>
        <v>#REF!</v>
      </c>
      <c r="E215" s="802" t="e">
        <f t="shared" si="42"/>
        <v>#REF!</v>
      </c>
      <c r="F215" s="802" t="e">
        <f t="shared" si="42"/>
        <v>#REF!</v>
      </c>
      <c r="G215" s="802" t="e">
        <f t="shared" si="42"/>
        <v>#REF!</v>
      </c>
      <c r="H215" s="802" t="e">
        <f t="shared" si="42"/>
        <v>#REF!</v>
      </c>
      <c r="I215" s="802"/>
      <c r="J215" s="802"/>
      <c r="K215" s="802" t="e">
        <f>U205</f>
        <v>#REF!</v>
      </c>
      <c r="L215" s="1244"/>
    </row>
    <row r="216" spans="2:23" x14ac:dyDescent="0.5">
      <c r="B216" s="548" t="s">
        <v>353</v>
      </c>
      <c r="C216" s="801" t="e">
        <f t="shared" si="42"/>
        <v>#REF!</v>
      </c>
      <c r="D216" s="801" t="e">
        <f t="shared" si="42"/>
        <v>#REF!</v>
      </c>
      <c r="E216" s="801" t="e">
        <f t="shared" si="42"/>
        <v>#REF!</v>
      </c>
      <c r="F216" s="801" t="e">
        <f t="shared" si="42"/>
        <v>#REF!</v>
      </c>
      <c r="G216" s="801" t="e">
        <f t="shared" si="42"/>
        <v>#REF!</v>
      </c>
      <c r="H216" s="801" t="e">
        <f t="shared" si="42"/>
        <v>#REF!</v>
      </c>
      <c r="I216" s="801"/>
      <c r="J216" s="801"/>
      <c r="K216" s="801" t="e">
        <f>U206</f>
        <v>#REF!</v>
      </c>
      <c r="L216" s="801"/>
    </row>
    <row r="218" spans="2:23" x14ac:dyDescent="0.5">
      <c r="B218" s="786" t="s">
        <v>1022</v>
      </c>
      <c r="C218" s="780" t="s">
        <v>1025</v>
      </c>
      <c r="D218" s="780" t="s">
        <v>1026</v>
      </c>
      <c r="E218" s="780" t="s">
        <v>1027</v>
      </c>
      <c r="F218" s="780" t="s">
        <v>1028</v>
      </c>
      <c r="G218" s="780" t="s">
        <v>1029</v>
      </c>
      <c r="H218" s="780" t="s">
        <v>1030</v>
      </c>
      <c r="I218" s="780"/>
      <c r="J218" s="780"/>
      <c r="K218" s="780" t="s">
        <v>1031</v>
      </c>
      <c r="L218" s="1243"/>
    </row>
    <row r="219" spans="2:23" x14ac:dyDescent="0.5">
      <c r="B219" s="548" t="s">
        <v>345</v>
      </c>
      <c r="C219" s="803" t="e">
        <f>C209/C214-1</f>
        <v>#REF!</v>
      </c>
      <c r="D219" s="803" t="e">
        <f t="shared" ref="D219:K219" si="43">D209/D214-1</f>
        <v>#REF!</v>
      </c>
      <c r="E219" s="803" t="e">
        <f>E209/E214-1</f>
        <v>#REF!</v>
      </c>
      <c r="F219" s="803" t="e">
        <f t="shared" si="43"/>
        <v>#REF!</v>
      </c>
      <c r="G219" s="803" t="e">
        <f t="shared" si="43"/>
        <v>#REF!</v>
      </c>
      <c r="H219" s="803" t="e">
        <f t="shared" si="43"/>
        <v>#REF!</v>
      </c>
      <c r="I219" s="803"/>
      <c r="J219" s="803"/>
      <c r="K219" s="803" t="e">
        <f t="shared" si="43"/>
        <v>#REF!</v>
      </c>
      <c r="L219" s="803"/>
    </row>
    <row r="220" spans="2:23" x14ac:dyDescent="0.5">
      <c r="B220" s="790" t="s">
        <v>218</v>
      </c>
      <c r="C220" s="804" t="e">
        <f t="shared" ref="C220:K220" si="44">C210/C215-1</f>
        <v>#REF!</v>
      </c>
      <c r="D220" s="804" t="e">
        <f t="shared" si="44"/>
        <v>#REF!</v>
      </c>
      <c r="E220" s="804" t="e">
        <f>E210/E215-1</f>
        <v>#REF!</v>
      </c>
      <c r="F220" s="804" t="e">
        <f t="shared" si="44"/>
        <v>#REF!</v>
      </c>
      <c r="G220" s="804" t="e">
        <f t="shared" si="44"/>
        <v>#REF!</v>
      </c>
      <c r="H220" s="804" t="e">
        <f t="shared" si="44"/>
        <v>#REF!</v>
      </c>
      <c r="I220" s="804"/>
      <c r="J220" s="804"/>
      <c r="K220" s="804" t="e">
        <f t="shared" si="44"/>
        <v>#REF!</v>
      </c>
      <c r="L220" s="1245"/>
    </row>
    <row r="221" spans="2:23" x14ac:dyDescent="0.5">
      <c r="B221" s="548" t="s">
        <v>353</v>
      </c>
      <c r="C221" s="803" t="e">
        <f t="shared" ref="C221:K221" si="45">C211/C216-1</f>
        <v>#REF!</v>
      </c>
      <c r="D221" s="803" t="e">
        <f t="shared" si="45"/>
        <v>#REF!</v>
      </c>
      <c r="E221" s="803" t="e">
        <f t="shared" si="45"/>
        <v>#REF!</v>
      </c>
      <c r="F221" s="803" t="e">
        <f t="shared" si="45"/>
        <v>#REF!</v>
      </c>
      <c r="G221" s="803" t="e">
        <f t="shared" si="45"/>
        <v>#REF!</v>
      </c>
      <c r="H221" s="803" t="e">
        <f t="shared" si="45"/>
        <v>#REF!</v>
      </c>
      <c r="I221" s="803"/>
      <c r="J221" s="803"/>
      <c r="K221" s="803" t="e">
        <f t="shared" si="45"/>
        <v>#REF!</v>
      </c>
      <c r="L221" s="803"/>
    </row>
    <row r="224" spans="2:23" ht="14.4" x14ac:dyDescent="0.55000000000000004">
      <c r="B224" s="483"/>
      <c r="C224" s="780" t="s">
        <v>374</v>
      </c>
      <c r="D224" s="780" t="s">
        <v>375</v>
      </c>
      <c r="E224" s="780" t="s">
        <v>376</v>
      </c>
      <c r="F224" s="780" t="s">
        <v>670</v>
      </c>
      <c r="G224" s="780" t="s">
        <v>867</v>
      </c>
      <c r="H224" s="780" t="s">
        <v>1025</v>
      </c>
      <c r="I224" s="780"/>
      <c r="J224" s="780"/>
      <c r="K224" s="780" t="s">
        <v>1026</v>
      </c>
      <c r="L224" s="780"/>
      <c r="M224" s="780" t="s">
        <v>1027</v>
      </c>
      <c r="N224" s="780" t="s">
        <v>1028</v>
      </c>
      <c r="O224" s="780" t="s">
        <v>1029</v>
      </c>
      <c r="P224" s="780" t="s">
        <v>1030</v>
      </c>
      <c r="Q224" s="780" t="s">
        <v>1031</v>
      </c>
    </row>
    <row r="225" spans="2:17" ht="14.4" x14ac:dyDescent="0.55000000000000004">
      <c r="B225" s="797" t="s">
        <v>345</v>
      </c>
      <c r="C225" s="455">
        <f>Quarts!H267</f>
        <v>18591.21</v>
      </c>
      <c r="D225" s="455">
        <f>Quarts!I267</f>
        <v>17890.559999999998</v>
      </c>
      <c r="E225" s="455">
        <f>Quarts!J267</f>
        <v>22106.338349999998</v>
      </c>
      <c r="F225" s="455">
        <f>Quarts!K267</f>
        <v>26655.1119</v>
      </c>
      <c r="G225" s="455">
        <f>Quarts!M267</f>
        <v>29549.16</v>
      </c>
      <c r="H225" s="455" t="e">
        <f>Quarts!#REF!</f>
        <v>#REF!</v>
      </c>
      <c r="I225" s="455"/>
      <c r="J225" s="455"/>
      <c r="K225" s="455" t="e">
        <f>Quarts!#REF!</f>
        <v>#REF!</v>
      </c>
      <c r="L225" s="455"/>
      <c r="M225" s="455" t="e">
        <f>Quarts!#REF!</f>
        <v>#REF!</v>
      </c>
      <c r="N225" s="455" t="e">
        <f>Quarts!#REF!</f>
        <v>#REF!</v>
      </c>
      <c r="O225" s="455" t="e">
        <f>Quarts!#REF!</f>
        <v>#REF!</v>
      </c>
      <c r="P225" s="455" t="e">
        <f>Quarts!#REF!</f>
        <v>#REF!</v>
      </c>
      <c r="Q225" s="455" t="e">
        <f>Quarts!#REF!</f>
        <v>#REF!</v>
      </c>
    </row>
    <row r="226" spans="2:17" ht="14.4" x14ac:dyDescent="0.55000000000000004">
      <c r="B226" s="798" t="s">
        <v>218</v>
      </c>
      <c r="C226" s="805">
        <f>Quarts!H268</f>
        <v>2253.48</v>
      </c>
      <c r="D226" s="805">
        <f>Quarts!I268</f>
        <v>2981.7599999999998</v>
      </c>
      <c r="E226" s="805">
        <f>Quarts!J268</f>
        <v>4314.5868300000002</v>
      </c>
      <c r="F226" s="805">
        <f>Quarts!K268</f>
        <v>6662.0215979999994</v>
      </c>
      <c r="G226" s="805">
        <f>Quarts!M268</f>
        <v>7901.58</v>
      </c>
      <c r="H226" s="805" t="e">
        <f>Quarts!#REF!</f>
        <v>#REF!</v>
      </c>
      <c r="I226" s="805"/>
      <c r="J226" s="805"/>
      <c r="K226" s="805" t="e">
        <f>Quarts!#REF!</f>
        <v>#REF!</v>
      </c>
      <c r="L226" s="805"/>
      <c r="M226" s="805" t="e">
        <f>Quarts!#REF!</f>
        <v>#REF!</v>
      </c>
      <c r="N226" s="805" t="e">
        <f>Quarts!#REF!</f>
        <v>#REF!</v>
      </c>
      <c r="O226" s="805" t="e">
        <f>Quarts!#REF!</f>
        <v>#REF!</v>
      </c>
      <c r="P226" s="805" t="e">
        <f>Quarts!#REF!</f>
        <v>#REF!</v>
      </c>
      <c r="Q226" s="805" t="e">
        <f>Quarts!#REF!</f>
        <v>#REF!</v>
      </c>
    </row>
    <row r="227" spans="2:17" ht="14.4" x14ac:dyDescent="0.55000000000000004">
      <c r="B227" s="40" t="s">
        <v>353</v>
      </c>
      <c r="C227" s="455">
        <f>Quarts!H270</f>
        <v>20844.690000000002</v>
      </c>
      <c r="D227" s="455">
        <f>Quarts!I270</f>
        <v>20872.32</v>
      </c>
      <c r="E227" s="455">
        <f>Quarts!J270</f>
        <v>26420.925179999998</v>
      </c>
      <c r="F227" s="455">
        <f>Quarts!K270</f>
        <v>33317.133497999996</v>
      </c>
      <c r="G227" s="455">
        <f>Quarts!M270</f>
        <v>37450.740000000005</v>
      </c>
      <c r="H227" s="455" t="e">
        <f>Quarts!#REF!</f>
        <v>#REF!</v>
      </c>
      <c r="I227" s="455"/>
      <c r="J227" s="455"/>
      <c r="K227" s="455" t="e">
        <f>Quarts!#REF!</f>
        <v>#REF!</v>
      </c>
      <c r="L227" s="455"/>
      <c r="M227" s="455" t="e">
        <f>Quarts!#REF!</f>
        <v>#REF!</v>
      </c>
      <c r="N227" s="455" t="e">
        <f>Quarts!#REF!</f>
        <v>#REF!</v>
      </c>
      <c r="O227" s="455" t="e">
        <f>Quarts!#REF!</f>
        <v>#REF!</v>
      </c>
      <c r="P227" s="455" t="e">
        <f>Quarts!#REF!</f>
        <v>#REF!</v>
      </c>
      <c r="Q227" s="455" t="e">
        <f>Quarts!#REF!</f>
        <v>#REF!</v>
      </c>
    </row>
    <row r="229" spans="2:17" x14ac:dyDescent="0.5">
      <c r="B229" s="79" t="s">
        <v>1055</v>
      </c>
      <c r="C229" s="309" t="e">
        <f>Quarts!H270/Quarts!D270-1</f>
        <v>#DIV/0!</v>
      </c>
      <c r="D229" s="309" t="e">
        <f>Quarts!I270/Quarts!E270-1</f>
        <v>#DIV/0!</v>
      </c>
      <c r="E229" s="309" t="e">
        <f>Quarts!J270/Quarts!F270-1</f>
        <v>#DIV/0!</v>
      </c>
      <c r="F229" s="309">
        <f>Quarts!K270/Quarts!G270-1</f>
        <v>1.0599566430320637</v>
      </c>
      <c r="G229" s="309">
        <f>Quarts!M270/Quarts!H270-1</f>
        <v>0.79665612681215214</v>
      </c>
      <c r="H229" s="309" t="e">
        <f>Quarts!#REF!/Quarts!I270-1</f>
        <v>#REF!</v>
      </c>
      <c r="I229" s="309"/>
      <c r="J229" s="309"/>
      <c r="K229" s="309" t="e">
        <f>Quarts!#REF!/Quarts!J270-1</f>
        <v>#REF!</v>
      </c>
      <c r="L229" s="309"/>
      <c r="M229" s="309" t="e">
        <f>Quarts!#REF!/Quarts!K270-1</f>
        <v>#REF!</v>
      </c>
      <c r="N229" s="309" t="e">
        <f>Quarts!#REF!/Quarts!M270-1</f>
        <v>#REF!</v>
      </c>
      <c r="O229" s="309" t="e">
        <f>Quarts!#REF!/Quarts!#REF!-1</f>
        <v>#REF!</v>
      </c>
      <c r="P229" s="309" t="e">
        <f>Quarts!#REF!/Quarts!#REF!-1</f>
        <v>#REF!</v>
      </c>
      <c r="Q229" s="309" t="e">
        <f>Quarts!#REF!/Quarts!#REF!-1</f>
        <v>#REF!</v>
      </c>
    </row>
    <row r="237" spans="2:17" x14ac:dyDescent="0.5">
      <c r="F237" s="780" t="s">
        <v>670</v>
      </c>
      <c r="G237" s="780" t="s">
        <v>867</v>
      </c>
      <c r="H237" s="780" t="s">
        <v>1025</v>
      </c>
      <c r="I237" s="780"/>
      <c r="J237" s="780"/>
      <c r="K237" s="780" t="s">
        <v>1026</v>
      </c>
      <c r="L237" s="780"/>
      <c r="M237" s="780" t="s">
        <v>1027</v>
      </c>
      <c r="N237" s="780" t="s">
        <v>1028</v>
      </c>
      <c r="O237" s="780" t="s">
        <v>1029</v>
      </c>
      <c r="P237" s="780" t="s">
        <v>1030</v>
      </c>
      <c r="Q237" s="780" t="s">
        <v>1031</v>
      </c>
    </row>
    <row r="238" spans="2:17" ht="14.4" x14ac:dyDescent="0.55000000000000004">
      <c r="B238" s="424" t="s">
        <v>794</v>
      </c>
      <c r="F238" s="394">
        <f>Quarts!K18</f>
        <v>0.29712388118661293</v>
      </c>
      <c r="G238" s="394">
        <f>Quarts!M18</f>
        <v>0.28086574005694231</v>
      </c>
      <c r="H238" s="394" t="e">
        <f>Quarts!#REF!</f>
        <v>#REF!</v>
      </c>
      <c r="I238" s="394"/>
      <c r="J238" s="394"/>
      <c r="K238" s="394" t="e">
        <f>Quarts!#REF!</f>
        <v>#REF!</v>
      </c>
      <c r="L238" s="394"/>
      <c r="M238" s="394" t="e">
        <f>Quarts!#REF!</f>
        <v>#REF!</v>
      </c>
      <c r="N238" s="394" t="e">
        <f>Quarts!#REF!</f>
        <v>#REF!</v>
      </c>
      <c r="O238" s="394" t="e">
        <f>Quarts!#REF!</f>
        <v>#REF!</v>
      </c>
      <c r="P238" s="394" t="e">
        <f>Quarts!#REF!</f>
        <v>#REF!</v>
      </c>
      <c r="Q238" s="394" t="e">
        <f>Quarts!#REF!</f>
        <v>#REF!</v>
      </c>
    </row>
    <row r="251" spans="2:14" x14ac:dyDescent="0.5">
      <c r="B251" s="786" t="s">
        <v>1056</v>
      </c>
      <c r="C251" s="780" t="str">
        <f>Quarts!K2</f>
        <v>Q4 21</v>
      </c>
      <c r="D251" s="780" t="str">
        <f>Quarts!M2</f>
        <v>Q1 22</v>
      </c>
      <c r="E251" s="780" t="e">
        <f>Quarts!#REF!</f>
        <v>#REF!</v>
      </c>
      <c r="F251" s="780" t="e">
        <f>Quarts!#REF!</f>
        <v>#REF!</v>
      </c>
      <c r="G251" s="780" t="e">
        <f>Quarts!#REF!</f>
        <v>#REF!</v>
      </c>
      <c r="H251" s="780" t="e">
        <f>Quarts!#REF!</f>
        <v>#REF!</v>
      </c>
      <c r="I251" s="780"/>
      <c r="J251" s="780"/>
      <c r="K251" s="780" t="e">
        <f>Quarts!#REF!</f>
        <v>#REF!</v>
      </c>
      <c r="L251" s="780"/>
      <c r="M251" s="780" t="e">
        <f>Quarts!#REF!</f>
        <v>#REF!</v>
      </c>
      <c r="N251" s="780" t="e">
        <f>Quarts!#REF!</f>
        <v>#REF!</v>
      </c>
    </row>
    <row r="252" spans="2:14" x14ac:dyDescent="0.5">
      <c r="B252" s="545" t="s">
        <v>993</v>
      </c>
      <c r="C252" s="549">
        <f>Quarts!K415</f>
        <v>6563.5249999999996</v>
      </c>
      <c r="D252" s="549">
        <f>Quarts!M415</f>
        <v>8821.9089999999997</v>
      </c>
      <c r="E252" s="549" t="e">
        <f>Quarts!#REF!</f>
        <v>#REF!</v>
      </c>
      <c r="F252" s="549" t="e">
        <f>Quarts!#REF!</f>
        <v>#REF!</v>
      </c>
      <c r="G252" s="549" t="e">
        <f>Quarts!#REF!</f>
        <v>#REF!</v>
      </c>
      <c r="H252" s="549" t="e">
        <f>Quarts!#REF!</f>
        <v>#REF!</v>
      </c>
      <c r="I252" s="549"/>
      <c r="J252" s="549"/>
      <c r="K252" s="549" t="e">
        <f>Quarts!#REF!</f>
        <v>#REF!</v>
      </c>
      <c r="L252" s="549"/>
      <c r="M252" s="549" t="e">
        <f>Quarts!#REF!</f>
        <v>#REF!</v>
      </c>
      <c r="N252" s="549" t="e">
        <f>Quarts!#REF!</f>
        <v>#REF!</v>
      </c>
    </row>
    <row r="253" spans="2:14" x14ac:dyDescent="0.5">
      <c r="B253" s="546" t="s">
        <v>180</v>
      </c>
      <c r="C253" s="547">
        <f>Quarts!K416</f>
        <v>5171.1790000000001</v>
      </c>
      <c r="D253" s="547">
        <f>Quarts!M416</f>
        <v>6814.4089999999997</v>
      </c>
      <c r="E253" s="547" t="e">
        <f>Quarts!#REF!</f>
        <v>#REF!</v>
      </c>
      <c r="F253" s="547" t="e">
        <f>Quarts!#REF!</f>
        <v>#REF!</v>
      </c>
      <c r="G253" s="547" t="e">
        <f>Quarts!#REF!</f>
        <v>#REF!</v>
      </c>
      <c r="H253" s="547" t="e">
        <f>Quarts!#REF!</f>
        <v>#REF!</v>
      </c>
      <c r="I253" s="547"/>
      <c r="J253" s="547"/>
      <c r="K253" s="547" t="e">
        <f>Quarts!#REF!</f>
        <v>#REF!</v>
      </c>
      <c r="L253" s="547"/>
      <c r="M253" s="547" t="e">
        <f>Quarts!#REF!</f>
        <v>#REF!</v>
      </c>
      <c r="N253" s="547" t="e">
        <f>Quarts!#REF!</f>
        <v>#REF!</v>
      </c>
    </row>
    <row r="254" spans="2:14" x14ac:dyDescent="0.5">
      <c r="B254" s="546" t="s">
        <v>218</v>
      </c>
      <c r="C254" s="547">
        <f>Quarts!K417</f>
        <v>1392.346</v>
      </c>
      <c r="D254" s="547">
        <f>Quarts!M417</f>
        <v>2007.5</v>
      </c>
      <c r="E254" s="547" t="e">
        <f>Quarts!#REF!</f>
        <v>#REF!</v>
      </c>
      <c r="F254" s="547" t="e">
        <f>Quarts!#REF!</f>
        <v>#REF!</v>
      </c>
      <c r="G254" s="547" t="e">
        <f>Quarts!#REF!</f>
        <v>#REF!</v>
      </c>
      <c r="H254" s="547" t="e">
        <f>Quarts!#REF!</f>
        <v>#REF!</v>
      </c>
      <c r="I254" s="547"/>
      <c r="J254" s="547"/>
      <c r="K254" s="547" t="e">
        <f>Quarts!#REF!</f>
        <v>#REF!</v>
      </c>
      <c r="L254" s="547"/>
      <c r="M254" s="547" t="e">
        <f>Quarts!#REF!</f>
        <v>#REF!</v>
      </c>
      <c r="N254" s="547" t="e">
        <f>Quarts!#REF!</f>
        <v>#REF!</v>
      </c>
    </row>
    <row r="255" spans="2:14" x14ac:dyDescent="0.5">
      <c r="B255" s="548"/>
      <c r="C255" s="547"/>
      <c r="D255" s="547"/>
      <c r="E255" s="547"/>
      <c r="F255" s="547"/>
      <c r="G255" s="547"/>
      <c r="H255" s="547"/>
      <c r="I255" s="547"/>
      <c r="J255" s="547"/>
      <c r="K255" s="547"/>
      <c r="L255" s="547"/>
      <c r="M255" s="547"/>
      <c r="N255" s="547"/>
    </row>
    <row r="256" spans="2:14" x14ac:dyDescent="0.5">
      <c r="B256" s="545" t="s">
        <v>1032</v>
      </c>
      <c r="C256" s="549">
        <f>Quarts!K420</f>
        <v>2592.2950819672133</v>
      </c>
      <c r="D256" s="549">
        <f>Quarts!M420</f>
        <v>3227.9631147540986</v>
      </c>
      <c r="E256" s="549" t="e">
        <f>Quarts!#REF!</f>
        <v>#REF!</v>
      </c>
      <c r="F256" s="549" t="e">
        <f>Quarts!#REF!</f>
        <v>#REF!</v>
      </c>
      <c r="G256" s="549" t="e">
        <f>Quarts!#REF!</f>
        <v>#REF!</v>
      </c>
      <c r="H256" s="549" t="e">
        <f>Quarts!#REF!</f>
        <v>#REF!</v>
      </c>
      <c r="I256" s="549"/>
      <c r="J256" s="549"/>
      <c r="K256" s="549" t="e">
        <f>Quarts!#REF!</f>
        <v>#REF!</v>
      </c>
      <c r="L256" s="549"/>
      <c r="M256" s="549" t="e">
        <f>Quarts!#REF!</f>
        <v>#REF!</v>
      </c>
      <c r="N256" s="549" t="e">
        <f>Quarts!#REF!</f>
        <v>#REF!</v>
      </c>
    </row>
    <row r="257" spans="2:14" x14ac:dyDescent="0.5">
      <c r="B257" s="546" t="s">
        <v>1035</v>
      </c>
      <c r="C257" s="547">
        <f>Quarts!K421</f>
        <v>2148.1967213114758</v>
      </c>
      <c r="D257" s="547">
        <f>Quarts!M421</f>
        <v>2543.202786885246</v>
      </c>
      <c r="E257" s="547" t="e">
        <f>Quarts!#REF!</f>
        <v>#REF!</v>
      </c>
      <c r="F257" s="547" t="e">
        <f>Quarts!#REF!</f>
        <v>#REF!</v>
      </c>
      <c r="G257" s="547" t="e">
        <f>Quarts!#REF!</f>
        <v>#REF!</v>
      </c>
      <c r="H257" s="547" t="e">
        <f>Quarts!#REF!</f>
        <v>#REF!</v>
      </c>
      <c r="I257" s="547"/>
      <c r="J257" s="547"/>
      <c r="K257" s="547" t="e">
        <f>Quarts!#REF!</f>
        <v>#REF!</v>
      </c>
      <c r="L257" s="547"/>
      <c r="M257" s="547" t="e">
        <f>Quarts!#REF!</f>
        <v>#REF!</v>
      </c>
      <c r="N257" s="547" t="e">
        <f>Quarts!#REF!</f>
        <v>#REF!</v>
      </c>
    </row>
    <row r="258" spans="2:14" x14ac:dyDescent="0.5">
      <c r="B258" s="546" t="s">
        <v>1034</v>
      </c>
      <c r="C258" s="547">
        <f>Quarts!K422</f>
        <v>444.09836065573768</v>
      </c>
      <c r="D258" s="547">
        <f>Quarts!M422</f>
        <v>684.76032786885253</v>
      </c>
      <c r="E258" s="547" t="e">
        <f>Quarts!#REF!</f>
        <v>#REF!</v>
      </c>
      <c r="F258" s="547" t="e">
        <f>Quarts!#REF!</f>
        <v>#REF!</v>
      </c>
      <c r="G258" s="547" t="e">
        <f>Quarts!#REF!</f>
        <v>#REF!</v>
      </c>
      <c r="H258" s="547" t="e">
        <f>Quarts!#REF!</f>
        <v>#REF!</v>
      </c>
      <c r="I258" s="547"/>
      <c r="J258" s="547"/>
      <c r="K258" s="547" t="e">
        <f>Quarts!#REF!</f>
        <v>#REF!</v>
      </c>
      <c r="L258" s="547"/>
      <c r="M258" s="547" t="e">
        <f>Quarts!#REF!</f>
        <v>#REF!</v>
      </c>
      <c r="N258" s="547" t="e">
        <f>Quarts!#REF!</f>
        <v>#REF!</v>
      </c>
    </row>
    <row r="259" spans="2:14" x14ac:dyDescent="0.5">
      <c r="B259" s="548"/>
      <c r="C259" s="806"/>
      <c r="D259" s="806"/>
      <c r="E259" s="806"/>
      <c r="F259" s="806"/>
      <c r="G259" s="806"/>
      <c r="H259" s="806"/>
      <c r="I259" s="806"/>
      <c r="J259" s="806"/>
      <c r="K259" s="806"/>
      <c r="L259" s="806"/>
      <c r="M259" s="806"/>
      <c r="N259" s="806"/>
    </row>
    <row r="260" spans="2:14" x14ac:dyDescent="0.5">
      <c r="B260" s="545" t="s">
        <v>1033</v>
      </c>
      <c r="C260" s="549">
        <f>Quarts!K425</f>
        <v>3884.8200819672129</v>
      </c>
      <c r="D260" s="549">
        <f>Quarts!M425</f>
        <v>5486.3471147540986</v>
      </c>
      <c r="E260" s="549" t="e">
        <f>Quarts!#REF!</f>
        <v>#REF!</v>
      </c>
      <c r="F260" s="549" t="e">
        <f>Quarts!#REF!</f>
        <v>#REF!</v>
      </c>
      <c r="G260" s="549" t="e">
        <f>Quarts!#REF!</f>
        <v>#REF!</v>
      </c>
      <c r="H260" s="549" t="e">
        <f>Quarts!#REF!</f>
        <v>#REF!</v>
      </c>
      <c r="I260" s="549"/>
      <c r="J260" s="549"/>
      <c r="K260" s="549" t="e">
        <f>Quarts!#REF!</f>
        <v>#REF!</v>
      </c>
      <c r="L260" s="549"/>
      <c r="M260" s="549" t="e">
        <f>Quarts!#REF!</f>
        <v>#REF!</v>
      </c>
      <c r="N260" s="549" t="e">
        <f>Quarts!#REF!</f>
        <v>#REF!</v>
      </c>
    </row>
    <row r="261" spans="2:14" x14ac:dyDescent="0.5">
      <c r="B261" s="546" t="s">
        <v>1035</v>
      </c>
      <c r="C261" s="547">
        <f>Quarts!K426</f>
        <v>3060.7181395130101</v>
      </c>
      <c r="D261" s="547">
        <f>Quarts!M426</f>
        <v>4237.8824306512752</v>
      </c>
      <c r="E261" s="547" t="e">
        <f>Quarts!#REF!</f>
        <v>#REF!</v>
      </c>
      <c r="F261" s="547" t="e">
        <f>Quarts!#REF!</f>
        <v>#REF!</v>
      </c>
      <c r="G261" s="547" t="e">
        <f>Quarts!#REF!</f>
        <v>#REF!</v>
      </c>
      <c r="H261" s="547" t="e">
        <f>Quarts!#REF!</f>
        <v>#REF!</v>
      </c>
      <c r="I261" s="547"/>
      <c r="J261" s="547"/>
      <c r="K261" s="547" t="e">
        <f>Quarts!#REF!</f>
        <v>#REF!</v>
      </c>
      <c r="L261" s="547"/>
      <c r="M261" s="547" t="e">
        <f>Quarts!#REF!</f>
        <v>#REF!</v>
      </c>
      <c r="N261" s="547" t="e">
        <f>Quarts!#REF!</f>
        <v>#REF!</v>
      </c>
    </row>
    <row r="262" spans="2:14" x14ac:dyDescent="0.5">
      <c r="B262" s="546" t="s">
        <v>1034</v>
      </c>
      <c r="C262" s="547">
        <f>Quarts!K427</f>
        <v>824.1019424542028</v>
      </c>
      <c r="D262" s="547">
        <f>Quarts!M427</f>
        <v>1248.4646841028232</v>
      </c>
      <c r="E262" s="547" t="e">
        <f>Quarts!#REF!</f>
        <v>#REF!</v>
      </c>
      <c r="F262" s="547" t="e">
        <f>Quarts!#REF!</f>
        <v>#REF!</v>
      </c>
      <c r="G262" s="547" t="e">
        <f>Quarts!#REF!</f>
        <v>#REF!</v>
      </c>
      <c r="H262" s="547" t="e">
        <f>Quarts!#REF!</f>
        <v>#REF!</v>
      </c>
      <c r="I262" s="547"/>
      <c r="J262" s="547"/>
      <c r="K262" s="547" t="e">
        <f>Quarts!#REF!</f>
        <v>#REF!</v>
      </c>
      <c r="L262" s="547"/>
      <c r="M262" s="547" t="e">
        <f>Quarts!#REF!</f>
        <v>#REF!</v>
      </c>
      <c r="N262" s="547" t="e">
        <f>Quarts!#REF!</f>
        <v>#REF!</v>
      </c>
    </row>
    <row r="263" spans="2:14" x14ac:dyDescent="0.5">
      <c r="B263" s="548"/>
      <c r="C263" s="807"/>
      <c r="D263" s="807"/>
      <c r="E263" s="807"/>
      <c r="F263" s="807"/>
      <c r="G263" s="807"/>
      <c r="H263" s="807"/>
      <c r="I263" s="807"/>
      <c r="J263" s="807"/>
      <c r="K263" s="807"/>
      <c r="L263" s="807"/>
      <c r="M263" s="807"/>
      <c r="N263" s="807"/>
    </row>
    <row r="264" spans="2:14" x14ac:dyDescent="0.5">
      <c r="B264" s="545" t="s">
        <v>1051</v>
      </c>
      <c r="C264" s="808">
        <f>Quarts!K435</f>
        <v>0.17012653071301598</v>
      </c>
      <c r="D264" s="808">
        <f>Quarts!M435</f>
        <v>2.4038911502354576</v>
      </c>
      <c r="E264" s="808" t="e">
        <f>Quarts!#REF!</f>
        <v>#REF!</v>
      </c>
      <c r="F264" s="808" t="e">
        <f>Quarts!#REF!</f>
        <v>#REF!</v>
      </c>
      <c r="G264" s="808" t="e">
        <f>Quarts!#REF!</f>
        <v>#REF!</v>
      </c>
      <c r="H264" s="808" t="e">
        <f>Quarts!#REF!</f>
        <v>#REF!</v>
      </c>
      <c r="I264" s="808"/>
      <c r="J264" s="808"/>
      <c r="K264" s="808" t="e">
        <f>Quarts!#REF!</f>
        <v>#REF!</v>
      </c>
      <c r="L264" s="808"/>
      <c r="M264" s="808" t="e">
        <f>Quarts!#REF!</f>
        <v>#REF!</v>
      </c>
      <c r="N264" s="808" t="e">
        <f>Quarts!#REF!</f>
        <v>#REF!</v>
      </c>
    </row>
    <row r="265" spans="2:14" x14ac:dyDescent="0.5">
      <c r="B265" s="546" t="s">
        <v>1035</v>
      </c>
      <c r="C265" s="809">
        <f>Quarts!K436</f>
        <v>2.4336726744648596E-2</v>
      </c>
      <c r="D265" s="809">
        <f>Quarts!M436</f>
        <v>1.8961881700902414</v>
      </c>
      <c r="E265" s="809" t="e">
        <f>Quarts!#REF!</f>
        <v>#REF!</v>
      </c>
      <c r="F265" s="809" t="e">
        <f>Quarts!#REF!</f>
        <v>#REF!</v>
      </c>
      <c r="G265" s="809" t="e">
        <f>Quarts!#REF!</f>
        <v>#REF!</v>
      </c>
      <c r="H265" s="809" t="e">
        <f>Quarts!#REF!</f>
        <v>#REF!</v>
      </c>
      <c r="I265" s="809"/>
      <c r="J265" s="809"/>
      <c r="K265" s="809" t="e">
        <f>Quarts!#REF!</f>
        <v>#REF!</v>
      </c>
      <c r="L265" s="809"/>
      <c r="M265" s="809" t="e">
        <f>Quarts!#REF!</f>
        <v>#REF!</v>
      </c>
      <c r="N265" s="809" t="e">
        <f>Quarts!#REF!</f>
        <v>#REF!</v>
      </c>
    </row>
    <row r="266" spans="2:14" x14ac:dyDescent="0.5">
      <c r="B266" s="810" t="s">
        <v>1034</v>
      </c>
      <c r="C266" s="811">
        <f>Quarts!K437</f>
        <v>1.4822347664283217</v>
      </c>
      <c r="D266" s="811">
        <f>Quarts!M437</f>
        <v>7.405767550021384</v>
      </c>
      <c r="E266" s="811" t="e">
        <f>Quarts!#REF!</f>
        <v>#REF!</v>
      </c>
      <c r="F266" s="811" t="e">
        <f>Quarts!#REF!</f>
        <v>#REF!</v>
      </c>
      <c r="G266" s="811" t="e">
        <f>Quarts!#REF!</f>
        <v>#REF!</v>
      </c>
      <c r="H266" s="811" t="e">
        <f>Quarts!#REF!</f>
        <v>#REF!</v>
      </c>
      <c r="I266" s="811"/>
      <c r="J266" s="811"/>
      <c r="K266" s="811" t="e">
        <f>Quarts!#REF!</f>
        <v>#REF!</v>
      </c>
      <c r="L266" s="811"/>
      <c r="M266" s="811" t="e">
        <f>Quarts!#REF!</f>
        <v>#REF!</v>
      </c>
      <c r="N266" s="811" t="e">
        <f>Quarts!#REF!</f>
        <v>#REF!</v>
      </c>
    </row>
    <row r="267" spans="2:14" x14ac:dyDescent="0.5">
      <c r="B267" s="548"/>
      <c r="C267" s="806"/>
      <c r="D267" s="806"/>
      <c r="E267" s="806"/>
      <c r="F267" s="806"/>
      <c r="G267" s="806"/>
      <c r="H267" s="806"/>
      <c r="I267" s="806"/>
      <c r="J267" s="806"/>
      <c r="K267" s="806"/>
      <c r="L267" s="806"/>
      <c r="M267" s="806"/>
      <c r="N267" s="806"/>
    </row>
    <row r="269" spans="2:14" x14ac:dyDescent="0.5">
      <c r="B269" s="786"/>
      <c r="C269" s="780" t="str">
        <f>C251</f>
        <v>Q4 21</v>
      </c>
      <c r="D269" s="780" t="str">
        <f t="shared" ref="D269:K269" si="46">D251</f>
        <v>Q1 22</v>
      </c>
      <c r="E269" s="780" t="e">
        <f t="shared" si="46"/>
        <v>#REF!</v>
      </c>
      <c r="F269" s="780" t="e">
        <f t="shared" si="46"/>
        <v>#REF!</v>
      </c>
      <c r="G269" s="780" t="e">
        <f t="shared" si="46"/>
        <v>#REF!</v>
      </c>
      <c r="H269" s="780" t="e">
        <f t="shared" si="46"/>
        <v>#REF!</v>
      </c>
      <c r="I269" s="780"/>
      <c r="J269" s="780"/>
      <c r="K269" s="780" t="e">
        <f t="shared" si="46"/>
        <v>#REF!</v>
      </c>
      <c r="L269" s="780"/>
      <c r="M269" s="780" t="e">
        <f>M251</f>
        <v>#REF!</v>
      </c>
      <c r="N269" s="780" t="e">
        <f>N251</f>
        <v>#REF!</v>
      </c>
    </row>
    <row r="270" spans="2:14" x14ac:dyDescent="0.5">
      <c r="B270" s="545" t="s">
        <v>422</v>
      </c>
    </row>
    <row r="271" spans="2:14" x14ac:dyDescent="0.5">
      <c r="B271" s="546" t="s">
        <v>555</v>
      </c>
      <c r="C271" s="547">
        <f>Quarts!K292</f>
        <v>150.21499999999997</v>
      </c>
      <c r="D271" s="547">
        <f>Quarts!M292</f>
        <v>303.31299999999999</v>
      </c>
      <c r="E271" s="547" t="e">
        <f>Quarts!#REF!</f>
        <v>#REF!</v>
      </c>
      <c r="F271" s="547" t="e">
        <f>Quarts!#REF!</f>
        <v>#REF!</v>
      </c>
      <c r="G271" s="547" t="e">
        <f>Quarts!#REF!</f>
        <v>#REF!</v>
      </c>
      <c r="H271" s="547" t="e">
        <f>Quarts!#REF!</f>
        <v>#REF!</v>
      </c>
      <c r="I271" s="547"/>
      <c r="J271" s="547"/>
      <c r="K271" s="547" t="e">
        <f>Quarts!#REF!</f>
        <v>#REF!</v>
      </c>
      <c r="L271" s="547"/>
      <c r="M271" s="547" t="e">
        <f>Quarts!#REF!</f>
        <v>#REF!</v>
      </c>
      <c r="N271" s="547" t="e">
        <f>Quarts!#REF!</f>
        <v>#REF!</v>
      </c>
    </row>
    <row r="272" spans="2:14" x14ac:dyDescent="0.5">
      <c r="B272" s="546" t="s">
        <v>556</v>
      </c>
      <c r="C272" s="547">
        <f>Quarts!K293</f>
        <v>-41.706999999999972</v>
      </c>
      <c r="D272" s="547">
        <f>Quarts!M293</f>
        <v>-133.25700000000001</v>
      </c>
      <c r="E272" s="547" t="e">
        <f>Quarts!#REF!</f>
        <v>#REF!</v>
      </c>
      <c r="F272" s="547" t="e">
        <f>Quarts!#REF!</f>
        <v>#REF!</v>
      </c>
      <c r="G272" s="547" t="e">
        <f>Quarts!#REF!</f>
        <v>#REF!</v>
      </c>
      <c r="H272" s="547" t="e">
        <f>Quarts!#REF!</f>
        <v>#REF!</v>
      </c>
      <c r="I272" s="547"/>
      <c r="J272" s="547"/>
      <c r="K272" s="547" t="e">
        <f>Quarts!#REF!</f>
        <v>#REF!</v>
      </c>
      <c r="L272" s="547"/>
      <c r="M272" s="547" t="e">
        <f>Quarts!#REF!</f>
        <v>#REF!</v>
      </c>
      <c r="N272" s="547" t="e">
        <f>Quarts!#REF!</f>
        <v>#REF!</v>
      </c>
    </row>
    <row r="273" spans="2:14" x14ac:dyDescent="0.5">
      <c r="B273" s="548" t="s">
        <v>1039</v>
      </c>
      <c r="C273" s="549">
        <f>Quarts!K294</f>
        <v>108.50800000000001</v>
      </c>
      <c r="D273" s="549">
        <f>Quarts!M294</f>
        <v>170.05599999999998</v>
      </c>
      <c r="E273" s="549" t="e">
        <f>Quarts!#REF!</f>
        <v>#REF!</v>
      </c>
      <c r="F273" s="549" t="e">
        <f>Quarts!#REF!</f>
        <v>#REF!</v>
      </c>
      <c r="G273" s="549" t="e">
        <f>Quarts!#REF!</f>
        <v>#REF!</v>
      </c>
      <c r="H273" s="549" t="e">
        <f>Quarts!#REF!</f>
        <v>#REF!</v>
      </c>
      <c r="I273" s="549"/>
      <c r="J273" s="549"/>
      <c r="K273" s="549" t="e">
        <f>Quarts!#REF!</f>
        <v>#REF!</v>
      </c>
      <c r="L273" s="549"/>
      <c r="M273" s="549" t="e">
        <f>Quarts!#REF!</f>
        <v>#REF!</v>
      </c>
      <c r="N273" s="549" t="e">
        <f>Quarts!#REF!</f>
        <v>#REF!</v>
      </c>
    </row>
    <row r="274" spans="2:14" x14ac:dyDescent="0.5">
      <c r="B274" s="546" t="s">
        <v>558</v>
      </c>
      <c r="C274" s="547">
        <f>Quarts!K295</f>
        <v>-4.4150000000000009</v>
      </c>
      <c r="D274" s="547">
        <f>Quarts!M295</f>
        <v>-3.5449999999999999</v>
      </c>
      <c r="E274" s="547" t="e">
        <f>Quarts!#REF!</f>
        <v>#REF!</v>
      </c>
      <c r="F274" s="547" t="e">
        <f>Quarts!#REF!</f>
        <v>#REF!</v>
      </c>
      <c r="G274" s="547" t="e">
        <f>Quarts!#REF!</f>
        <v>#REF!</v>
      </c>
      <c r="H274" s="547" t="e">
        <f>Quarts!#REF!</f>
        <v>#REF!</v>
      </c>
      <c r="I274" s="547"/>
      <c r="J274" s="547"/>
      <c r="K274" s="547" t="e">
        <f>Quarts!#REF!</f>
        <v>#REF!</v>
      </c>
      <c r="L274" s="547"/>
      <c r="M274" s="547" t="e">
        <f>Quarts!#REF!</f>
        <v>#REF!</v>
      </c>
      <c r="N274" s="547" t="e">
        <f>Quarts!#REF!</f>
        <v>#REF!</v>
      </c>
    </row>
    <row r="275" spans="2:14" x14ac:dyDescent="0.5">
      <c r="B275" s="545" t="s">
        <v>106</v>
      </c>
      <c r="C275" s="549">
        <f>Quarts!K296</f>
        <v>104.09299999999999</v>
      </c>
      <c r="D275" s="549">
        <f>Quarts!M296</f>
        <v>166.511</v>
      </c>
      <c r="E275" s="549" t="e">
        <f>Quarts!#REF!</f>
        <v>#REF!</v>
      </c>
      <c r="F275" s="549" t="e">
        <f>Quarts!#REF!</f>
        <v>#REF!</v>
      </c>
      <c r="G275" s="549" t="e">
        <f>Quarts!#REF!</f>
        <v>#REF!</v>
      </c>
      <c r="H275" s="549" t="e">
        <f>Quarts!#REF!</f>
        <v>#REF!</v>
      </c>
      <c r="I275" s="549"/>
      <c r="J275" s="549"/>
      <c r="K275" s="549" t="e">
        <f>Quarts!#REF!</f>
        <v>#REF!</v>
      </c>
      <c r="L275" s="549"/>
      <c r="M275" s="549" t="e">
        <f>Quarts!#REF!</f>
        <v>#REF!</v>
      </c>
      <c r="N275" s="549" t="e">
        <f>Quarts!#REF!</f>
        <v>#REF!</v>
      </c>
    </row>
    <row r="276" spans="2:14" x14ac:dyDescent="0.5">
      <c r="B276" s="548"/>
      <c r="C276" s="806"/>
      <c r="D276" s="806"/>
      <c r="E276" s="806"/>
      <c r="F276" s="806"/>
      <c r="G276" s="806"/>
      <c r="H276" s="806"/>
      <c r="I276" s="806"/>
      <c r="J276" s="806"/>
      <c r="K276" s="806"/>
      <c r="L276" s="806"/>
      <c r="M276" s="806"/>
      <c r="N276" s="806"/>
    </row>
    <row r="277" spans="2:14" x14ac:dyDescent="0.5">
      <c r="B277" s="545" t="s">
        <v>218</v>
      </c>
      <c r="C277" s="549"/>
      <c r="D277" s="549"/>
      <c r="E277" s="549"/>
      <c r="F277" s="549"/>
      <c r="G277" s="549"/>
      <c r="H277" s="549"/>
      <c r="I277" s="549"/>
      <c r="J277" s="549"/>
      <c r="K277" s="549"/>
      <c r="L277" s="549"/>
      <c r="M277" s="549"/>
      <c r="N277" s="549"/>
    </row>
    <row r="278" spans="2:14" x14ac:dyDescent="0.5">
      <c r="B278" s="546" t="s">
        <v>555</v>
      </c>
      <c r="C278" s="550">
        <f>Quarts!K299</f>
        <v>113.989</v>
      </c>
      <c r="D278" s="550">
        <f>Quarts!M299</f>
        <v>181.959</v>
      </c>
      <c r="E278" s="550" t="e">
        <f>Quarts!#REF!</f>
        <v>#REF!</v>
      </c>
      <c r="F278" s="550" t="e">
        <f>Quarts!#REF!</f>
        <v>#REF!</v>
      </c>
      <c r="G278" s="550" t="e">
        <f>Quarts!#REF!</f>
        <v>#REF!</v>
      </c>
      <c r="H278" s="550" t="e">
        <f>Quarts!#REF!</f>
        <v>#REF!</v>
      </c>
      <c r="I278" s="550"/>
      <c r="J278" s="550"/>
      <c r="K278" s="550" t="e">
        <f>Quarts!#REF!</f>
        <v>#REF!</v>
      </c>
      <c r="L278" s="550"/>
      <c r="M278" s="550" t="e">
        <f>Quarts!#REF!</f>
        <v>#REF!</v>
      </c>
      <c r="N278" s="550" t="e">
        <f>Quarts!#REF!</f>
        <v>#REF!</v>
      </c>
    </row>
    <row r="279" spans="2:14" x14ac:dyDescent="0.5">
      <c r="B279" s="546" t="s">
        <v>556</v>
      </c>
      <c r="C279" s="550">
        <f>Quarts!K300</f>
        <v>-18.221999999999998</v>
      </c>
      <c r="D279" s="550">
        <f>Quarts!M300</f>
        <v>-72.525999999999996</v>
      </c>
      <c r="E279" s="550" t="e">
        <f>Quarts!#REF!</f>
        <v>#REF!</v>
      </c>
      <c r="F279" s="550" t="e">
        <f>Quarts!#REF!</f>
        <v>#REF!</v>
      </c>
      <c r="G279" s="550" t="e">
        <f>Quarts!#REF!</f>
        <v>#REF!</v>
      </c>
      <c r="H279" s="550" t="e">
        <f>Quarts!#REF!</f>
        <v>#REF!</v>
      </c>
      <c r="I279" s="550"/>
      <c r="J279" s="550"/>
      <c r="K279" s="550" t="e">
        <f>Quarts!#REF!</f>
        <v>#REF!</v>
      </c>
      <c r="L279" s="550"/>
      <c r="M279" s="550" t="e">
        <f>Quarts!#REF!</f>
        <v>#REF!</v>
      </c>
      <c r="N279" s="550" t="e">
        <f>Quarts!#REF!</f>
        <v>#REF!</v>
      </c>
    </row>
    <row r="280" spans="2:14" x14ac:dyDescent="0.5">
      <c r="B280" s="548" t="s">
        <v>1039</v>
      </c>
      <c r="C280" s="550">
        <f>Quarts!K301</f>
        <v>95.767000000000024</v>
      </c>
      <c r="D280" s="550">
        <f>Quarts!M301</f>
        <v>109.43300000000001</v>
      </c>
      <c r="E280" s="550" t="e">
        <f>Quarts!#REF!</f>
        <v>#REF!</v>
      </c>
      <c r="F280" s="550" t="e">
        <f>Quarts!#REF!</f>
        <v>#REF!</v>
      </c>
      <c r="G280" s="550" t="e">
        <f>Quarts!#REF!</f>
        <v>#REF!</v>
      </c>
      <c r="H280" s="550" t="e">
        <f>Quarts!#REF!</f>
        <v>#REF!</v>
      </c>
      <c r="I280" s="550"/>
      <c r="J280" s="550"/>
      <c r="K280" s="550" t="e">
        <f>Quarts!#REF!</f>
        <v>#REF!</v>
      </c>
      <c r="L280" s="550"/>
      <c r="M280" s="550" t="e">
        <f>Quarts!#REF!</f>
        <v>#REF!</v>
      </c>
      <c r="N280" s="550" t="e">
        <f>Quarts!#REF!</f>
        <v>#REF!</v>
      </c>
    </row>
    <row r="281" spans="2:14" x14ac:dyDescent="0.5">
      <c r="B281" s="546" t="s">
        <v>558</v>
      </c>
      <c r="C281" s="551">
        <f>Quarts!K302</f>
        <v>-0.18400000000000005</v>
      </c>
      <c r="D281" s="551">
        <f>Quarts!M302</f>
        <v>-0.222</v>
      </c>
      <c r="E281" s="551" t="e">
        <f>Quarts!#REF!</f>
        <v>#REF!</v>
      </c>
      <c r="F281" s="551" t="e">
        <f>Quarts!#REF!</f>
        <v>#REF!</v>
      </c>
      <c r="G281" s="551" t="e">
        <f>Quarts!#REF!</f>
        <v>#REF!</v>
      </c>
      <c r="H281" s="551" t="e">
        <f>Quarts!#REF!</f>
        <v>#REF!</v>
      </c>
      <c r="I281" s="551"/>
      <c r="J281" s="551"/>
      <c r="K281" s="551" t="e">
        <f>Quarts!#REF!</f>
        <v>#REF!</v>
      </c>
      <c r="L281" s="551"/>
      <c r="M281" s="551" t="e">
        <f>Quarts!#REF!</f>
        <v>#REF!</v>
      </c>
      <c r="N281" s="551" t="e">
        <f>Quarts!#REF!</f>
        <v>#REF!</v>
      </c>
    </row>
    <row r="282" spans="2:14" x14ac:dyDescent="0.5">
      <c r="B282" s="545" t="s">
        <v>1052</v>
      </c>
      <c r="C282" s="551">
        <f>Quarts!K303</f>
        <v>95.583000000000027</v>
      </c>
      <c r="D282" s="551">
        <f>Quarts!M303</f>
        <v>109.21100000000001</v>
      </c>
      <c r="E282" s="551" t="e">
        <f>Quarts!#REF!</f>
        <v>#REF!</v>
      </c>
      <c r="F282" s="551" t="e">
        <f>Quarts!#REF!</f>
        <v>#REF!</v>
      </c>
      <c r="G282" s="551" t="e">
        <f>Quarts!#REF!</f>
        <v>#REF!</v>
      </c>
      <c r="H282" s="551" t="e">
        <f>Quarts!#REF!</f>
        <v>#REF!</v>
      </c>
      <c r="I282" s="551"/>
      <c r="J282" s="551"/>
      <c r="K282" s="551" t="e">
        <f>Quarts!#REF!</f>
        <v>#REF!</v>
      </c>
      <c r="L282" s="551"/>
      <c r="M282" s="551" t="e">
        <f>Quarts!#REF!</f>
        <v>#REF!</v>
      </c>
      <c r="N282" s="551" t="e">
        <f>Quarts!#REF!</f>
        <v>#REF!</v>
      </c>
    </row>
    <row r="283" spans="2:14" x14ac:dyDescent="0.5">
      <c r="B283" s="546"/>
      <c r="C283" s="551"/>
      <c r="D283" s="551"/>
      <c r="E283" s="551"/>
      <c r="F283" s="551"/>
      <c r="G283" s="551"/>
      <c r="H283" s="551"/>
      <c r="I283" s="551"/>
      <c r="J283" s="551"/>
      <c r="K283" s="551"/>
      <c r="L283" s="551"/>
      <c r="M283" s="551"/>
      <c r="N283" s="551"/>
    </row>
    <row r="284" spans="2:14" x14ac:dyDescent="0.5">
      <c r="B284" s="545" t="s">
        <v>1053</v>
      </c>
      <c r="C284" s="812">
        <f>Quarts!K305</f>
        <v>-199.63400000000001</v>
      </c>
      <c r="D284" s="812">
        <f>Quarts!M305</f>
        <v>-275.72199999999998</v>
      </c>
      <c r="E284" s="812" t="e">
        <f>Quarts!#REF!</f>
        <v>#REF!</v>
      </c>
      <c r="F284" s="812" t="e">
        <f>Quarts!#REF!</f>
        <v>#REF!</v>
      </c>
      <c r="G284" s="812" t="e">
        <f>Quarts!#REF!</f>
        <v>#REF!</v>
      </c>
      <c r="H284" s="812" t="e">
        <f>Quarts!#REF!</f>
        <v>#REF!</v>
      </c>
      <c r="I284" s="812"/>
      <c r="J284" s="812"/>
      <c r="K284" s="812" t="e">
        <f>Quarts!#REF!</f>
        <v>#REF!</v>
      </c>
      <c r="L284" s="812"/>
      <c r="M284" s="812" t="e">
        <f>Quarts!#REF!</f>
        <v>#REF!</v>
      </c>
      <c r="N284" s="812" t="e">
        <f>Quarts!#REF!</f>
        <v>#REF!</v>
      </c>
    </row>
    <row r="285" spans="2:14" x14ac:dyDescent="0.5">
      <c r="B285" s="546"/>
      <c r="C285" s="551"/>
      <c r="D285" s="551"/>
      <c r="E285" s="551"/>
      <c r="F285" s="551"/>
      <c r="G285" s="551"/>
      <c r="H285" s="551"/>
      <c r="I285" s="551"/>
      <c r="J285" s="551"/>
      <c r="K285" s="551"/>
      <c r="L285" s="551"/>
      <c r="M285" s="551"/>
      <c r="N285" s="551"/>
    </row>
    <row r="286" spans="2:14" x14ac:dyDescent="0.5">
      <c r="B286" s="545" t="s">
        <v>1054</v>
      </c>
      <c r="C286" s="808">
        <f>G72</f>
        <v>0.13495024092644192</v>
      </c>
      <c r="D286" s="808">
        <f>H72</f>
        <v>0.12501693227622274</v>
      </c>
      <c r="E286" s="808">
        <f>I72</f>
        <v>0.15091224652287569</v>
      </c>
      <c r="F286" s="808">
        <f>J72</f>
        <v>0.15945748783220995</v>
      </c>
      <c r="G286" s="808">
        <f>O72</f>
        <v>0.16559112764322692</v>
      </c>
      <c r="H286" s="808">
        <f>P72</f>
        <v>0</v>
      </c>
      <c r="I286" s="808"/>
      <c r="J286" s="808"/>
      <c r="K286" s="808">
        <f>Q72</f>
        <v>0</v>
      </c>
      <c r="L286" s="808"/>
      <c r="M286" s="808" t="e">
        <f>R72</f>
        <v>#REF!</v>
      </c>
      <c r="N286" s="808" t="e">
        <f>S72</f>
        <v>#REF!</v>
      </c>
    </row>
    <row r="287" spans="2:14" x14ac:dyDescent="0.5">
      <c r="B287" s="546"/>
      <c r="C287" s="551"/>
      <c r="D287" s="551"/>
      <c r="E287" s="551"/>
      <c r="F287" s="551"/>
      <c r="G287" s="551"/>
      <c r="H287" s="551"/>
      <c r="I287" s="551"/>
      <c r="J287" s="551"/>
      <c r="K287" s="551"/>
      <c r="L287" s="551"/>
      <c r="M287" s="551"/>
      <c r="N287" s="551"/>
    </row>
    <row r="288" spans="2:14" x14ac:dyDescent="0.5">
      <c r="B288" s="795" t="s">
        <v>706</v>
      </c>
      <c r="C288" s="813">
        <f>G71</f>
        <v>0.3567742239833947</v>
      </c>
      <c r="D288" s="813">
        <f>H71</f>
        <v>0.33523887254393481</v>
      </c>
      <c r="E288" s="813">
        <f>I71</f>
        <v>0.31405083619783325</v>
      </c>
      <c r="F288" s="813">
        <f>J71</f>
        <v>0.32672737011247999</v>
      </c>
      <c r="G288" s="813">
        <f>O71</f>
        <v>0.42826983682756775</v>
      </c>
      <c r="H288" s="813">
        <f>P71</f>
        <v>0</v>
      </c>
      <c r="I288" s="813"/>
      <c r="J288" s="813"/>
      <c r="K288" s="813">
        <f>Q71</f>
        <v>0</v>
      </c>
      <c r="L288" s="813"/>
      <c r="M288" s="813" t="e">
        <f>R71</f>
        <v>#REF!</v>
      </c>
      <c r="N288" s="813" t="e">
        <f>S71</f>
        <v>#REF!</v>
      </c>
    </row>
    <row r="293" spans="2:36" ht="14.4" x14ac:dyDescent="0.55000000000000004">
      <c r="B293" s="81" t="s">
        <v>521</v>
      </c>
      <c r="C293" s="824" t="s">
        <v>691</v>
      </c>
      <c r="D293" s="824" t="s">
        <v>692</v>
      </c>
      <c r="E293" s="824" t="s">
        <v>693</v>
      </c>
      <c r="F293" s="824" t="s">
        <v>560</v>
      </c>
      <c r="G293" s="824" t="s">
        <v>672</v>
      </c>
      <c r="H293" s="824" t="s">
        <v>374</v>
      </c>
      <c r="I293" s="824"/>
      <c r="J293" s="824"/>
      <c r="K293" s="824" t="s">
        <v>375</v>
      </c>
      <c r="L293" s="824"/>
      <c r="M293" s="824" t="s">
        <v>376</v>
      </c>
      <c r="N293" s="824" t="s">
        <v>670</v>
      </c>
      <c r="O293" s="825" t="s">
        <v>867</v>
      </c>
      <c r="P293" s="826" t="s">
        <v>1007</v>
      </c>
    </row>
    <row r="294" spans="2:36" x14ac:dyDescent="0.5">
      <c r="B294" s="79" t="s">
        <v>1103</v>
      </c>
      <c r="C294" s="372">
        <v>4.2999999999999997E-2</v>
      </c>
      <c r="D294" s="372">
        <v>4.8000000000000001E-2</v>
      </c>
      <c r="E294" s="372">
        <v>5.9342254479473798E-2</v>
      </c>
      <c r="F294" s="372">
        <v>5.0506029842610892E-2</v>
      </c>
      <c r="G294" s="372">
        <v>3.4670244701173483E-2</v>
      </c>
      <c r="H294" s="372">
        <v>2.7E-2</v>
      </c>
      <c r="I294" s="372"/>
      <c r="J294" s="372"/>
      <c r="K294" s="372">
        <v>2.7819913807022121E-2</v>
      </c>
      <c r="L294" s="372"/>
      <c r="M294" s="372">
        <v>3.2867885160314525E-2</v>
      </c>
      <c r="N294" s="372">
        <v>3.3895675197317766E-2</v>
      </c>
      <c r="O294" s="372">
        <v>3.6528016301340428E-2</v>
      </c>
      <c r="P294" s="372">
        <v>4.1961635862948952E-2</v>
      </c>
    </row>
    <row r="295" spans="2:36" x14ac:dyDescent="0.5">
      <c r="B295" s="79" t="s">
        <v>1104</v>
      </c>
      <c r="C295" s="372">
        <v>4.3000000000000031E-2</v>
      </c>
      <c r="D295" s="372">
        <v>4.7999999999999952E-2</v>
      </c>
      <c r="E295" s="372">
        <v>9.2497164889997735E-2</v>
      </c>
      <c r="F295" s="372">
        <v>7.5405532465762468E-2</v>
      </c>
      <c r="G295" s="372">
        <v>5.1292185936504746E-2</v>
      </c>
      <c r="H295" s="372">
        <v>2.699999999999993E-2</v>
      </c>
      <c r="I295" s="372"/>
      <c r="J295" s="372"/>
      <c r="K295" s="372">
        <v>3.6897499906851955E-2</v>
      </c>
      <c r="L295" s="372"/>
      <c r="M295" s="372">
        <v>3.9527384217287867E-2</v>
      </c>
      <c r="N295" s="372">
        <v>3.9154364733900215E-2</v>
      </c>
      <c r="O295" s="372">
        <v>6.0319249773773606E-2</v>
      </c>
      <c r="P295" s="372">
        <v>9.4302349502301139E-2</v>
      </c>
    </row>
    <row r="296" spans="2:36" x14ac:dyDescent="0.5">
      <c r="B296" s="79" t="s">
        <v>1105</v>
      </c>
      <c r="C296" s="372">
        <f>Quarts!C402</f>
        <v>4.4999999999999998E-2</v>
      </c>
      <c r="D296" s="372">
        <f>Quarts!D402</f>
        <v>0.05</v>
      </c>
      <c r="E296" s="372">
        <f>Quarts!E402</f>
        <v>6.1999999999999986E-2</v>
      </c>
      <c r="F296" s="372">
        <f>Quarts!F402</f>
        <v>5.349397015738911E-2</v>
      </c>
      <c r="G296" s="372">
        <f>Quarts!G402</f>
        <v>3.9974781033685014E-2</v>
      </c>
      <c r="H296" s="372">
        <f>Quarts!H402</f>
        <v>3.1274352037559489E-2</v>
      </c>
      <c r="I296" s="372"/>
      <c r="J296" s="372"/>
      <c r="K296" s="372">
        <f>Quarts!I402</f>
        <v>3.2371911755959271E-2</v>
      </c>
      <c r="L296" s="372"/>
      <c r="M296" s="372">
        <f>Quarts!J402</f>
        <v>3.6523872583593624E-2</v>
      </c>
      <c r="N296" s="372">
        <f>Quarts!K402</f>
        <v>3.6515835619399965E-2</v>
      </c>
      <c r="O296" s="372">
        <f>Quarts!M402</f>
        <v>3.9382025121960311E-2</v>
      </c>
      <c r="P296" s="372">
        <f>Quarts!N402</f>
        <v>4.4307573378263666E-2</v>
      </c>
    </row>
    <row r="297" spans="2:36" x14ac:dyDescent="0.5">
      <c r="B297" s="79" t="s">
        <v>1106</v>
      </c>
      <c r="C297" s="372">
        <f>Quarts!C403</f>
        <v>4.4999999999999998E-2</v>
      </c>
      <c r="D297" s="372">
        <f>Quarts!D403</f>
        <v>4.999999999999992E-2</v>
      </c>
      <c r="E297" s="372">
        <f>Quarts!E403</f>
        <v>6.2000000000000437E-2</v>
      </c>
      <c r="F297" s="372">
        <f>Quarts!F403</f>
        <v>2.8594467534237313E-2</v>
      </c>
      <c r="G297" s="372">
        <f>Quarts!G403</f>
        <v>-9.1609056918582274E-3</v>
      </c>
      <c r="H297" s="372">
        <f>Quarts!H403</f>
        <v>1.7445117261543554E-2</v>
      </c>
      <c r="I297" s="372"/>
      <c r="J297" s="372"/>
      <c r="K297" s="372">
        <f>Quarts!I403</f>
        <v>1.362499434695036E-2</v>
      </c>
      <c r="L297" s="372"/>
      <c r="M297" s="372">
        <f>Quarts!J403</f>
        <v>1.0117081456105258E-2</v>
      </c>
      <c r="N297" s="372">
        <f>Quarts!K403</f>
        <v>1.0514162914611182E-2</v>
      </c>
      <c r="O297" s="372">
        <f>Quarts!M403</f>
        <v>2.0125324319147073E-2</v>
      </c>
      <c r="P297" s="372">
        <f>Quarts!N403</f>
        <v>2.8803753918062593E-2</v>
      </c>
    </row>
    <row r="299" spans="2:36" x14ac:dyDescent="0.5">
      <c r="B299" s="79" t="s">
        <v>1115</v>
      </c>
      <c r="C299" s="372">
        <f>Quarts!C387</f>
        <v>4.4999999999999998E-2</v>
      </c>
      <c r="D299" s="372">
        <f>Quarts!D387</f>
        <v>0.05</v>
      </c>
      <c r="E299" s="372">
        <f>Quarts!E387</f>
        <v>6.2E-2</v>
      </c>
      <c r="F299" s="372">
        <f>Quarts!F387</f>
        <v>5.1999999999999998E-2</v>
      </c>
      <c r="G299" s="372">
        <f>Quarts!G387</f>
        <v>3.6999999999999998E-2</v>
      </c>
      <c r="H299" s="372">
        <f>Quarts!H387</f>
        <v>0.03</v>
      </c>
      <c r="I299" s="372"/>
      <c r="J299" s="372"/>
      <c r="K299" s="372">
        <f>Quarts!I387</f>
        <v>0.03</v>
      </c>
      <c r="L299" s="372"/>
      <c r="M299" s="372">
        <f>Quarts!J387</f>
        <v>3.2000000000000001E-2</v>
      </c>
      <c r="N299" s="372">
        <f>Quarts!K387</f>
        <v>3.1E-2</v>
      </c>
      <c r="O299" s="372">
        <f>Quarts!M387</f>
        <v>3.5000000000000003E-2</v>
      </c>
      <c r="P299" s="372">
        <f>Quarts!N387</f>
        <v>4.1000000000000002E-2</v>
      </c>
      <c r="AE299" s="786" t="s">
        <v>1062</v>
      </c>
      <c r="AF299" s="814" t="s">
        <v>1063</v>
      </c>
      <c r="AG299" s="814" t="s">
        <v>1062</v>
      </c>
      <c r="AH299" s="814" t="s">
        <v>1063</v>
      </c>
      <c r="AI299" s="814" t="s">
        <v>1062</v>
      </c>
      <c r="AJ299" s="814" t="s">
        <v>1063</v>
      </c>
    </row>
    <row r="300" spans="2:36" x14ac:dyDescent="0.5">
      <c r="B300" s="79" t="s">
        <v>1116</v>
      </c>
      <c r="C300" s="372">
        <v>4.2999999999999997E-2</v>
      </c>
      <c r="D300" s="372">
        <v>4.8000000000000001E-2</v>
      </c>
      <c r="E300" s="372">
        <v>6.0999999999999999E-2</v>
      </c>
      <c r="F300" s="372">
        <v>5.1999999999999998E-2</v>
      </c>
      <c r="G300" s="372">
        <v>3.5999999999999997E-2</v>
      </c>
      <c r="H300" s="372">
        <v>2.7E-2</v>
      </c>
      <c r="I300" s="372"/>
      <c r="J300" s="372"/>
      <c r="K300" s="372">
        <v>2.9000000000000001E-2</v>
      </c>
      <c r="L300" s="372"/>
      <c r="M300" s="372">
        <v>3.4000000000000002E-2</v>
      </c>
      <c r="N300" s="372">
        <v>3.5000000000000003E-2</v>
      </c>
      <c r="O300" s="372">
        <v>4.2000000000000003E-2</v>
      </c>
      <c r="P300" s="372">
        <v>5.3999999999999999E-2</v>
      </c>
      <c r="AE300" s="815">
        <v>1</v>
      </c>
      <c r="AF300" s="816">
        <v>0.96</v>
      </c>
      <c r="AG300" s="815">
        <v>11</v>
      </c>
      <c r="AH300" s="816">
        <v>0.63</v>
      </c>
      <c r="AI300" s="815">
        <v>21</v>
      </c>
      <c r="AJ300" s="816">
        <v>0.3</v>
      </c>
    </row>
    <row r="301" spans="2:36" x14ac:dyDescent="0.5">
      <c r="AE301" s="815">
        <v>2</v>
      </c>
      <c r="AF301" s="816">
        <v>0.93</v>
      </c>
      <c r="AG301" s="815">
        <v>12</v>
      </c>
      <c r="AH301" s="816">
        <v>0.6</v>
      </c>
      <c r="AI301" s="815">
        <v>22</v>
      </c>
      <c r="AJ301" s="816">
        <v>0.26</v>
      </c>
    </row>
    <row r="302" spans="2:36" x14ac:dyDescent="0.5">
      <c r="AE302" s="815">
        <v>3</v>
      </c>
      <c r="AF302" s="816">
        <v>0.9</v>
      </c>
      <c r="AG302" s="815">
        <v>13</v>
      </c>
      <c r="AH302" s="816">
        <v>0.56000000000000005</v>
      </c>
      <c r="AI302" s="815">
        <v>23</v>
      </c>
      <c r="AJ302" s="816">
        <v>0.23</v>
      </c>
    </row>
    <row r="303" spans="2:36" x14ac:dyDescent="0.5">
      <c r="AE303" s="815">
        <v>4</v>
      </c>
      <c r="AF303" s="816">
        <f>AF302-4%</f>
        <v>0.86</v>
      </c>
      <c r="AG303" s="815">
        <v>14</v>
      </c>
      <c r="AH303" s="816">
        <v>0.53</v>
      </c>
      <c r="AI303" s="815">
        <v>24</v>
      </c>
      <c r="AJ303" s="816">
        <v>0.2</v>
      </c>
    </row>
    <row r="304" spans="2:36" x14ac:dyDescent="0.5">
      <c r="AE304" s="815">
        <v>5</v>
      </c>
      <c r="AF304" s="816">
        <v>0.83</v>
      </c>
      <c r="AG304" s="815">
        <v>15</v>
      </c>
      <c r="AH304" s="816">
        <v>0.5</v>
      </c>
      <c r="AI304" s="815">
        <v>25</v>
      </c>
      <c r="AJ304" s="816">
        <v>0.16</v>
      </c>
    </row>
    <row r="305" spans="31:36" x14ac:dyDescent="0.5">
      <c r="AE305" s="815">
        <v>6</v>
      </c>
      <c r="AF305" s="816">
        <v>0.8</v>
      </c>
      <c r="AG305" s="815">
        <v>16</v>
      </c>
      <c r="AH305" s="816">
        <v>0.46</v>
      </c>
      <c r="AI305" s="815">
        <v>26</v>
      </c>
      <c r="AJ305" s="816">
        <v>0.13</v>
      </c>
    </row>
    <row r="306" spans="31:36" x14ac:dyDescent="0.5">
      <c r="AE306" s="815">
        <v>7</v>
      </c>
      <c r="AF306" s="816">
        <f>AF305-4%</f>
        <v>0.76</v>
      </c>
      <c r="AG306" s="815">
        <v>17</v>
      </c>
      <c r="AH306" s="816">
        <v>0.43</v>
      </c>
      <c r="AI306" s="815">
        <v>27</v>
      </c>
      <c r="AJ306" s="816">
        <v>0.1</v>
      </c>
    </row>
    <row r="307" spans="31:36" x14ac:dyDescent="0.5">
      <c r="AE307" s="815">
        <v>8</v>
      </c>
      <c r="AF307" s="816">
        <v>0.73</v>
      </c>
      <c r="AG307" s="815">
        <v>18</v>
      </c>
      <c r="AH307" s="816">
        <v>0.4</v>
      </c>
      <c r="AI307" s="815">
        <v>28</v>
      </c>
      <c r="AJ307" s="816">
        <v>0.06</v>
      </c>
    </row>
    <row r="308" spans="31:36" x14ac:dyDescent="0.5">
      <c r="AE308" s="815">
        <v>9</v>
      </c>
      <c r="AF308" s="816">
        <v>0.7</v>
      </c>
      <c r="AG308" s="815">
        <v>19</v>
      </c>
      <c r="AH308" s="816">
        <v>0.36</v>
      </c>
      <c r="AI308" s="815">
        <v>29</v>
      </c>
      <c r="AJ308" s="816">
        <v>0.03</v>
      </c>
    </row>
    <row r="309" spans="31:36" x14ac:dyDescent="0.5">
      <c r="AE309" s="817">
        <v>10</v>
      </c>
      <c r="AF309" s="818">
        <f>AF308-4%</f>
        <v>0.65999999999999992</v>
      </c>
      <c r="AG309" s="817">
        <v>20</v>
      </c>
      <c r="AH309" s="818">
        <v>0.33</v>
      </c>
      <c r="AI309" s="817">
        <v>30</v>
      </c>
      <c r="AJ309" s="818">
        <v>0</v>
      </c>
    </row>
    <row r="325" spans="2:36" ht="15.6" x14ac:dyDescent="0.6">
      <c r="B325" s="499" t="s">
        <v>1175</v>
      </c>
      <c r="C325"/>
      <c r="D325"/>
      <c r="E325"/>
      <c r="F325"/>
      <c r="G325"/>
      <c r="H325"/>
      <c r="I325"/>
      <c r="J325"/>
      <c r="K325"/>
      <c r="L325"/>
      <c r="M325"/>
      <c r="N325"/>
      <c r="O325"/>
      <c r="P325"/>
      <c r="Q325"/>
      <c r="R325"/>
      <c r="S325"/>
      <c r="T325"/>
      <c r="U325"/>
      <c r="V325"/>
      <c r="W325"/>
      <c r="X325"/>
      <c r="Y325"/>
    </row>
    <row r="326" spans="2:36" ht="15.6" x14ac:dyDescent="0.6">
      <c r="B326"/>
      <c r="C326"/>
      <c r="D326"/>
      <c r="E326"/>
      <c r="F326"/>
      <c r="G326"/>
      <c r="H326"/>
      <c r="I326"/>
      <c r="J326"/>
      <c r="K326"/>
      <c r="L326"/>
      <c r="M326"/>
      <c r="N326"/>
      <c r="O326"/>
      <c r="P326"/>
      <c r="Q326"/>
      <c r="R326"/>
      <c r="S326"/>
      <c r="T326"/>
      <c r="U326"/>
      <c r="V326"/>
      <c r="W326"/>
      <c r="X326"/>
      <c r="Y326"/>
    </row>
    <row r="327" spans="2:36" ht="15.6" x14ac:dyDescent="0.6">
      <c r="B327" t="s">
        <v>1162</v>
      </c>
      <c r="C327"/>
      <c r="D327"/>
      <c r="E327"/>
      <c r="F327"/>
      <c r="G327"/>
      <c r="H327"/>
      <c r="I327"/>
      <c r="J327"/>
      <c r="K327"/>
      <c r="L327"/>
      <c r="M327"/>
      <c r="N327"/>
      <c r="O327"/>
      <c r="P327"/>
      <c r="Q327"/>
      <c r="R327"/>
      <c r="S327"/>
      <c r="T327"/>
      <c r="U327"/>
      <c r="V327"/>
      <c r="W327"/>
      <c r="X327"/>
      <c r="Y327"/>
    </row>
    <row r="328" spans="2:36" ht="15.6" x14ac:dyDescent="0.6">
      <c r="B328"/>
      <c r="C328" t="s">
        <v>1161</v>
      </c>
      <c r="D328"/>
      <c r="E328"/>
      <c r="F328"/>
      <c r="G328"/>
      <c r="H328"/>
      <c r="I328"/>
      <c r="J328"/>
      <c r="K328"/>
      <c r="L328"/>
      <c r="M328"/>
      <c r="N328"/>
      <c r="O328"/>
      <c r="P328"/>
      <c r="Q328"/>
      <c r="R328"/>
      <c r="S328"/>
      <c r="T328"/>
      <c r="U328"/>
      <c r="V328"/>
      <c r="W328"/>
      <c r="X328"/>
      <c r="Y328"/>
    </row>
    <row r="329" spans="2:36" ht="15.6" x14ac:dyDescent="0.6">
      <c r="B329"/>
      <c r="C329" t="s">
        <v>1163</v>
      </c>
      <c r="D329"/>
      <c r="E329"/>
      <c r="F329"/>
      <c r="G329"/>
      <c r="H329"/>
      <c r="I329"/>
      <c r="J329"/>
      <c r="K329"/>
      <c r="L329"/>
      <c r="M329"/>
      <c r="N329"/>
      <c r="O329"/>
      <c r="P329"/>
      <c r="Q329"/>
      <c r="R329"/>
      <c r="S329"/>
      <c r="T329"/>
      <c r="U329"/>
      <c r="V329"/>
      <c r="W329"/>
      <c r="X329"/>
      <c r="Y329"/>
    </row>
    <row r="330" spans="2:36" ht="15.6" x14ac:dyDescent="0.6">
      <c r="B330"/>
      <c r="C330" t="s">
        <v>1164</v>
      </c>
      <c r="D330"/>
      <c r="E330"/>
      <c r="F330"/>
      <c r="G330"/>
      <c r="H330"/>
      <c r="I330"/>
      <c r="J330"/>
      <c r="K330"/>
      <c r="L330"/>
      <c r="M330"/>
      <c r="N330"/>
      <c r="O330"/>
      <c r="P330"/>
      <c r="Q330"/>
      <c r="R330"/>
      <c r="S330"/>
      <c r="T330"/>
      <c r="U330"/>
      <c r="V330"/>
      <c r="W330"/>
      <c r="X330"/>
      <c r="Y330"/>
    </row>
    <row r="331" spans="2:36" ht="15.6" x14ac:dyDescent="0.6">
      <c r="B331"/>
      <c r="C331"/>
      <c r="D331"/>
      <c r="E331"/>
      <c r="F331"/>
      <c r="G331"/>
      <c r="H331"/>
      <c r="I331"/>
      <c r="J331"/>
      <c r="K331"/>
      <c r="L331"/>
      <c r="M331"/>
      <c r="N331"/>
      <c r="O331"/>
      <c r="P331"/>
      <c r="Q331"/>
      <c r="R331"/>
      <c r="S331"/>
      <c r="T331"/>
      <c r="U331"/>
      <c r="V331"/>
      <c r="W331"/>
      <c r="X331"/>
      <c r="Y331"/>
    </row>
    <row r="332" spans="2:36" ht="14.1" x14ac:dyDescent="0.5">
      <c r="B332" s="574" t="s">
        <v>156</v>
      </c>
      <c r="C332" s="579" t="s">
        <v>670</v>
      </c>
      <c r="D332" s="574"/>
      <c r="E332" s="574"/>
      <c r="F332" s="579" t="s">
        <v>867</v>
      </c>
      <c r="G332" s="579"/>
      <c r="H332" s="579"/>
      <c r="I332" s="579" t="s">
        <v>1007</v>
      </c>
      <c r="J332" s="579"/>
      <c r="K332" s="579"/>
      <c r="L332" s="579"/>
      <c r="M332" s="579" t="s">
        <v>1008</v>
      </c>
      <c r="N332" s="579"/>
      <c r="O332" s="579"/>
      <c r="P332" s="579" t="s">
        <v>1009</v>
      </c>
      <c r="Q332" s="579"/>
      <c r="R332" s="579"/>
      <c r="S332" s="579" t="s">
        <v>1014</v>
      </c>
      <c r="T332" s="618"/>
      <c r="U332" s="618"/>
      <c r="V332" s="579" t="s">
        <v>1015</v>
      </c>
      <c r="W332" s="579"/>
      <c r="X332" s="579"/>
      <c r="Y332" s="579" t="s">
        <v>1016</v>
      </c>
      <c r="Z332" s="579"/>
      <c r="AA332" s="579"/>
      <c r="AB332" s="579" t="s">
        <v>1017</v>
      </c>
      <c r="AC332" s="579"/>
      <c r="AD332" s="579"/>
      <c r="AE332" s="579" t="s">
        <v>2107</v>
      </c>
      <c r="AF332" s="579"/>
      <c r="AG332" s="579"/>
      <c r="AH332" s="579" t="s">
        <v>2303</v>
      </c>
      <c r="AI332" s="579"/>
      <c r="AJ332" s="579"/>
    </row>
    <row r="333" spans="2:36" ht="14.1" x14ac:dyDescent="0.5">
      <c r="B333" s="613" t="s">
        <v>106</v>
      </c>
      <c r="C333" s="614" t="s">
        <v>1168</v>
      </c>
      <c r="D333" s="614" t="s">
        <v>1252</v>
      </c>
      <c r="E333" s="614" t="s">
        <v>1169</v>
      </c>
      <c r="F333" s="614" t="s">
        <v>1168</v>
      </c>
      <c r="G333" s="614" t="s">
        <v>1252</v>
      </c>
      <c r="H333" s="614" t="s">
        <v>1169</v>
      </c>
      <c r="I333" s="614" t="s">
        <v>1168</v>
      </c>
      <c r="J333" s="614" t="s">
        <v>1252</v>
      </c>
      <c r="K333" s="614" t="s">
        <v>1169</v>
      </c>
      <c r="L333" s="614"/>
      <c r="M333" s="614" t="s">
        <v>1168</v>
      </c>
      <c r="N333" s="614" t="s">
        <v>1252</v>
      </c>
      <c r="O333" s="614" t="s">
        <v>1169</v>
      </c>
      <c r="P333" s="614" t="s">
        <v>1168</v>
      </c>
      <c r="Q333" s="614" t="s">
        <v>1252</v>
      </c>
      <c r="R333" s="614" t="s">
        <v>1169</v>
      </c>
      <c r="S333" s="614" t="s">
        <v>1168</v>
      </c>
      <c r="T333" s="614" t="s">
        <v>1252</v>
      </c>
      <c r="U333" s="614" t="s">
        <v>1169</v>
      </c>
      <c r="V333" s="614" t="s">
        <v>1168</v>
      </c>
      <c r="W333" s="614" t="s">
        <v>1252</v>
      </c>
      <c r="X333" s="614" t="s">
        <v>1169</v>
      </c>
      <c r="Y333" s="614" t="s">
        <v>1168</v>
      </c>
      <c r="Z333" s="614" t="s">
        <v>1252</v>
      </c>
      <c r="AA333" s="614" t="s">
        <v>1169</v>
      </c>
      <c r="AB333" s="614" t="s">
        <v>1168</v>
      </c>
      <c r="AC333" s="614" t="s">
        <v>1252</v>
      </c>
      <c r="AD333" s="614" t="s">
        <v>1169</v>
      </c>
      <c r="AE333" s="614" t="s">
        <v>1168</v>
      </c>
      <c r="AF333" s="614" t="s">
        <v>1252</v>
      </c>
      <c r="AG333" s="614" t="s">
        <v>1169</v>
      </c>
      <c r="AH333" s="614" t="s">
        <v>1168</v>
      </c>
      <c r="AI333" s="614" t="s">
        <v>1252</v>
      </c>
      <c r="AJ333" s="614" t="s">
        <v>1169</v>
      </c>
    </row>
    <row r="334" spans="2:36" ht="14.1" x14ac:dyDescent="0.5">
      <c r="B334" s="552" t="s">
        <v>1165</v>
      </c>
      <c r="C334" s="568">
        <f>C337-C336-C335</f>
        <v>4535.1790000000001</v>
      </c>
      <c r="D334" s="568">
        <f>D337-D336-D335</f>
        <v>127.67899999999997</v>
      </c>
      <c r="E334" s="611">
        <f>D334/C334</f>
        <v>2.815302328750419E-2</v>
      </c>
      <c r="F334" s="568">
        <f>F337-F336-F335</f>
        <v>5867.4089999999997</v>
      </c>
      <c r="G334" s="568">
        <f>G337-G336-G335</f>
        <v>179.50899999999999</v>
      </c>
      <c r="H334" s="611">
        <f>G334/F334</f>
        <v>3.0594253783910411E-2</v>
      </c>
      <c r="I334" s="568">
        <f>I337-I336-I335</f>
        <v>6114.5049999999992</v>
      </c>
      <c r="J334" s="568">
        <f>J337-J336-J335</f>
        <v>211.73299999999998</v>
      </c>
      <c r="K334" s="611">
        <f>J334/I334</f>
        <v>3.4627987057006253E-2</v>
      </c>
      <c r="L334" s="611"/>
      <c r="M334" s="568">
        <f>M337-M336-M335</f>
        <v>6528.2719999999999</v>
      </c>
      <c r="N334" s="568">
        <f>N337-N336-N335</f>
        <v>220.32399999999996</v>
      </c>
      <c r="O334" s="611">
        <f>N334/M334</f>
        <v>3.374920652815936E-2</v>
      </c>
      <c r="P334" s="568">
        <f>P337-P336-P335</f>
        <v>7769</v>
      </c>
      <c r="Q334" s="568">
        <f>Q337-Q336-Q335</f>
        <v>324</v>
      </c>
      <c r="R334" s="611">
        <f>Q334/P334</f>
        <v>4.170420903591196E-2</v>
      </c>
      <c r="S334" s="568">
        <f>S337-S336-S335</f>
        <v>8698</v>
      </c>
      <c r="T334" s="568">
        <f>T337-T336-T335</f>
        <v>385</v>
      </c>
      <c r="U334" s="611">
        <f>T334/S334</f>
        <v>4.426304897677627E-2</v>
      </c>
      <c r="V334" s="568">
        <f>V337-V336-V335</f>
        <v>9893</v>
      </c>
      <c r="W334" s="568">
        <f>W337-W336-W335</f>
        <v>486</v>
      </c>
      <c r="X334" s="611">
        <f>W334/V334</f>
        <v>4.9125644395026785E-2</v>
      </c>
      <c r="Y334" s="568">
        <f>Y337-Y336-Y335</f>
        <v>10104.5</v>
      </c>
      <c r="Z334" s="568">
        <f>Z337-Z336-Z335</f>
        <v>574</v>
      </c>
      <c r="AA334" s="611">
        <f>Z334/Y334</f>
        <v>5.6806373397990995E-2</v>
      </c>
      <c r="AB334" s="568">
        <f>AB337-AB336-AB335</f>
        <v>11914</v>
      </c>
      <c r="AC334" s="568">
        <f>AC337-AC336-AC335</f>
        <v>693</v>
      </c>
      <c r="AD334" s="611">
        <f>AC334/AB334</f>
        <v>5.8166862514688604E-2</v>
      </c>
      <c r="AE334" s="568">
        <f>AE337-AE336-AE335</f>
        <v>12277.7</v>
      </c>
      <c r="AF334" s="568">
        <f>AF337-AF336-AF335</f>
        <v>745</v>
      </c>
      <c r="AG334" s="611">
        <f>AF334/AE334</f>
        <v>6.0679117424273274E-2</v>
      </c>
      <c r="AH334" s="568">
        <v>11489</v>
      </c>
      <c r="AI334" s="568">
        <v>732</v>
      </c>
      <c r="AJ334" s="611">
        <f>AI334/AH334</f>
        <v>6.3713116894420746E-2</v>
      </c>
    </row>
    <row r="335" spans="2:36" ht="14.1" x14ac:dyDescent="0.5">
      <c r="B335" s="552" t="s">
        <v>1170</v>
      </c>
      <c r="C335" s="568">
        <v>440</v>
      </c>
      <c r="D335" s="568">
        <v>126</v>
      </c>
      <c r="E335" s="611">
        <f>D335/C335</f>
        <v>0.28636363636363638</v>
      </c>
      <c r="F335" s="568">
        <v>666.1</v>
      </c>
      <c r="G335" s="568">
        <v>201.1</v>
      </c>
      <c r="H335" s="611">
        <f>G335/F335</f>
        <v>0.30190662062753337</v>
      </c>
      <c r="I335" s="568">
        <v>702.76099999999997</v>
      </c>
      <c r="J335" s="568">
        <v>223.07599999999999</v>
      </c>
      <c r="K335" s="611">
        <f>J335/I335</f>
        <v>0.31742797337928541</v>
      </c>
      <c r="L335" s="611"/>
      <c r="M335" s="568">
        <v>831.2</v>
      </c>
      <c r="N335" s="568">
        <v>265</v>
      </c>
      <c r="O335" s="611">
        <f>N335/M335</f>
        <v>0.31881616939364771</v>
      </c>
      <c r="P335" s="568">
        <v>917</v>
      </c>
      <c r="Q335" s="568">
        <v>254</v>
      </c>
      <c r="R335" s="611">
        <f>Q335/P335</f>
        <v>0.27699018538713194</v>
      </c>
      <c r="S335" s="568">
        <v>1053</v>
      </c>
      <c r="T335" s="568">
        <v>322</v>
      </c>
      <c r="U335" s="611">
        <f>T335/S335</f>
        <v>0.3057929724596391</v>
      </c>
      <c r="V335" s="568">
        <v>1246</v>
      </c>
      <c r="W335" s="568">
        <v>385</v>
      </c>
      <c r="X335" s="611">
        <f>W335/V335</f>
        <v>0.3089887640449438</v>
      </c>
      <c r="Y335" s="568">
        <v>1245</v>
      </c>
      <c r="Z335" s="568">
        <v>401</v>
      </c>
      <c r="AA335" s="611">
        <f>Z335/Y335</f>
        <v>0.3220883534136546</v>
      </c>
      <c r="AB335" s="568">
        <v>1490</v>
      </c>
      <c r="AC335" s="568">
        <v>478</v>
      </c>
      <c r="AD335" s="611">
        <f>AC335/AB335</f>
        <v>0.32080536912751678</v>
      </c>
      <c r="AE335" s="568">
        <v>1597</v>
      </c>
      <c r="AF335" s="568">
        <v>545</v>
      </c>
      <c r="AG335" s="611">
        <f>AF335/AE335</f>
        <v>0.34126487163431435</v>
      </c>
      <c r="AH335" s="568">
        <v>1521</v>
      </c>
      <c r="AI335" s="568">
        <v>501</v>
      </c>
      <c r="AJ335" s="611">
        <f>AI335/AH335</f>
        <v>0.32938856015779094</v>
      </c>
    </row>
    <row r="336" spans="2:36" ht="14.1" x14ac:dyDescent="0.5">
      <c r="B336" s="618" t="s">
        <v>1171</v>
      </c>
      <c r="C336" s="936">
        <v>196</v>
      </c>
      <c r="D336" s="936">
        <v>137</v>
      </c>
      <c r="E336" s="612">
        <f>D336/C336</f>
        <v>0.69897959183673475</v>
      </c>
      <c r="F336" s="936">
        <v>280.89999999999998</v>
      </c>
      <c r="G336" s="936">
        <v>199.8</v>
      </c>
      <c r="H336" s="612">
        <f>G336/F336</f>
        <v>0.71128515485938071</v>
      </c>
      <c r="I336" s="936">
        <v>358.55099999999999</v>
      </c>
      <c r="J336" s="936">
        <v>262.53800000000001</v>
      </c>
      <c r="K336" s="612">
        <f>J336/I336</f>
        <v>0.73221940532867014</v>
      </c>
      <c r="L336" s="612"/>
      <c r="M336" s="936">
        <v>452.8</v>
      </c>
      <c r="N336" s="936">
        <v>339</v>
      </c>
      <c r="O336" s="612">
        <f>N336/M336</f>
        <v>0.74867491166077738</v>
      </c>
      <c r="P336" s="936">
        <v>598</v>
      </c>
      <c r="Q336" s="936">
        <v>473</v>
      </c>
      <c r="R336" s="612">
        <f>Q336/P336</f>
        <v>0.79096989966555187</v>
      </c>
      <c r="S336" s="936">
        <v>723</v>
      </c>
      <c r="T336" s="936">
        <v>609</v>
      </c>
      <c r="U336" s="612">
        <f>T336/S336</f>
        <v>0.84232365145228216</v>
      </c>
      <c r="V336" s="936">
        <v>923</v>
      </c>
      <c r="W336" s="936">
        <v>803</v>
      </c>
      <c r="X336" s="612">
        <f>W336/V336</f>
        <v>0.86998916576381369</v>
      </c>
      <c r="Y336" s="936">
        <v>997</v>
      </c>
      <c r="Z336" s="936">
        <v>876</v>
      </c>
      <c r="AA336" s="612">
        <f>Z336/Y336</f>
        <v>0.87863590772316946</v>
      </c>
      <c r="AB336" s="936">
        <v>1106</v>
      </c>
      <c r="AC336" s="936">
        <v>925</v>
      </c>
      <c r="AD336" s="612">
        <f>AC336/AB336</f>
        <v>0.83634719710669081</v>
      </c>
      <c r="AE336" s="936">
        <v>1219</v>
      </c>
      <c r="AF336" s="936">
        <v>1007</v>
      </c>
      <c r="AG336" s="612">
        <f>AF336/AE336</f>
        <v>0.82608695652173914</v>
      </c>
      <c r="AH336" s="936">
        <v>1304</v>
      </c>
      <c r="AI336" s="936">
        <v>1080</v>
      </c>
      <c r="AJ336" s="612">
        <f>AI336/AH336</f>
        <v>0.82822085889570551</v>
      </c>
    </row>
    <row r="337" spans="2:37" ht="14.4" thickBot="1" x14ac:dyDescent="0.55000000000000004">
      <c r="B337" s="552"/>
      <c r="C337" s="568">
        <f>Quarts!K245</f>
        <v>5171.1790000000001</v>
      </c>
      <c r="D337" s="568">
        <f>Quarts!K251</f>
        <v>390.67899999999997</v>
      </c>
      <c r="E337" s="611">
        <f>D337/C337</f>
        <v>7.5549308968032233E-2</v>
      </c>
      <c r="F337" s="568">
        <f>Quarts!M245</f>
        <v>6814.4089999999997</v>
      </c>
      <c r="G337" s="568">
        <f>Quarts!M251</f>
        <v>580.40899999999999</v>
      </c>
      <c r="H337" s="611">
        <f>G337/F337</f>
        <v>8.5173783962776528E-2</v>
      </c>
      <c r="I337" s="568">
        <f>Quarts!N245</f>
        <v>7175.817</v>
      </c>
      <c r="J337" s="568">
        <f>Quarts!N251</f>
        <v>697.34699999999998</v>
      </c>
      <c r="K337" s="611">
        <f>J337/I337</f>
        <v>9.7180153841715855E-2</v>
      </c>
      <c r="L337" s="611"/>
      <c r="M337" s="568">
        <f>Quarts!O245</f>
        <v>7812.2719999999999</v>
      </c>
      <c r="N337" s="568">
        <f>Quarts!O251</f>
        <v>824.32399999999996</v>
      </c>
      <c r="O337" s="611">
        <f>N337/M337</f>
        <v>0.10551655139503591</v>
      </c>
      <c r="P337" s="568">
        <f>Quarts!P245</f>
        <v>9284</v>
      </c>
      <c r="Q337" s="568">
        <f>Quarts!P251</f>
        <v>1051</v>
      </c>
      <c r="R337" s="611">
        <f>Q337/P337</f>
        <v>0.11320551486428264</v>
      </c>
      <c r="S337" s="568">
        <f>Quarts!R245</f>
        <v>10474</v>
      </c>
      <c r="T337" s="568">
        <f>Quarts!R251</f>
        <v>1316</v>
      </c>
      <c r="U337" s="611">
        <f>T337/S337</f>
        <v>0.12564445293106741</v>
      </c>
      <c r="V337" s="568">
        <f>Quarts!S245</f>
        <v>12062</v>
      </c>
      <c r="W337" s="568">
        <f>Quarts!S251</f>
        <v>1674</v>
      </c>
      <c r="X337" s="611">
        <f>W337/V337</f>
        <v>0.13878295473387497</v>
      </c>
      <c r="Y337" s="568">
        <f>Quarts!T245</f>
        <v>12346.5</v>
      </c>
      <c r="Z337" s="568">
        <f>Quarts!T251</f>
        <v>1851</v>
      </c>
      <c r="AA337" s="611">
        <f>Z337/Y337</f>
        <v>0.14992103025148829</v>
      </c>
      <c r="AB337" s="568">
        <f>Quarts!V245</f>
        <v>14510</v>
      </c>
      <c r="AC337" s="568">
        <f>Quarts!U251</f>
        <v>2096</v>
      </c>
      <c r="AD337" s="611">
        <f>AC337/AB337</f>
        <v>0.14445210199862163</v>
      </c>
      <c r="AE337" s="568">
        <f>Quarts!W245</f>
        <v>15093.7</v>
      </c>
      <c r="AF337" s="568">
        <f>Quarts!W251</f>
        <v>2297</v>
      </c>
      <c r="AG337" s="611">
        <f>AF337/AE337</f>
        <v>0.15218269874185919</v>
      </c>
      <c r="AH337" s="568">
        <f>Quarts!X245</f>
        <v>14340</v>
      </c>
      <c r="AI337" s="568">
        <f>Quarts!X251</f>
        <v>2313</v>
      </c>
      <c r="AJ337" s="611">
        <f>AI337/AH337</f>
        <v>0.16129707112970712</v>
      </c>
      <c r="AK337" s="568"/>
    </row>
    <row r="338" spans="2:37" ht="14.1" x14ac:dyDescent="0.5">
      <c r="B338" s="937" t="s">
        <v>1172</v>
      </c>
      <c r="C338" s="938"/>
      <c r="D338" s="939">
        <f>D335/C337</f>
        <v>2.4365816770218165E-2</v>
      </c>
      <c r="E338" s="1168"/>
      <c r="F338" s="938"/>
      <c r="G338" s="939">
        <f>G335/F337</f>
        <v>2.9510996478197889E-2</v>
      </c>
      <c r="H338" s="939"/>
      <c r="I338" s="938"/>
      <c r="J338" s="939">
        <f>J335/I337</f>
        <v>3.1087191883516538E-2</v>
      </c>
      <c r="K338" s="939"/>
      <c r="L338" s="939"/>
      <c r="M338" s="938"/>
      <c r="N338" s="939">
        <f>N335/M337</f>
        <v>3.3920989950170705E-2</v>
      </c>
      <c r="O338" s="939"/>
      <c r="P338" s="938"/>
      <c r="Q338" s="939">
        <f>Q335/P337</f>
        <v>2.7358897027143472E-2</v>
      </c>
      <c r="R338" s="939"/>
      <c r="S338" s="1160"/>
      <c r="T338" s="939">
        <f>T335/S337</f>
        <v>3.0742791674622877E-2</v>
      </c>
      <c r="U338" s="1160"/>
      <c r="V338" s="1160"/>
      <c r="W338" s="939">
        <f>W335/V337</f>
        <v>3.1918421488973635E-2</v>
      </c>
      <c r="X338" s="1160"/>
      <c r="Y338" s="1160"/>
      <c r="Z338" s="939">
        <f>Z335/Y337</f>
        <v>3.2478840157129554E-2</v>
      </c>
      <c r="AA338" s="1160"/>
      <c r="AB338" s="1160"/>
      <c r="AC338" s="939">
        <f>AC335/AB337</f>
        <v>3.2942798070296347E-2</v>
      </c>
      <c r="AD338" s="1160"/>
      <c r="AE338" s="1160"/>
      <c r="AF338" s="939">
        <f>AF335/AE337</f>
        <v>3.6107780067180344E-2</v>
      </c>
      <c r="AG338" s="1160"/>
      <c r="AH338" s="1160"/>
      <c r="AI338" s="939">
        <f>AI335/AH337</f>
        <v>3.4937238493723849E-2</v>
      </c>
      <c r="AJ338" s="1169"/>
    </row>
    <row r="339" spans="2:37" ht="14.4" thickBot="1" x14ac:dyDescent="0.55000000000000004">
      <c r="B339" s="940" t="s">
        <v>1173</v>
      </c>
      <c r="C339" s="941"/>
      <c r="D339" s="942">
        <f>D336/C337</f>
        <v>2.6492991250157846E-2</v>
      </c>
      <c r="E339" s="1162"/>
      <c r="F339" s="941"/>
      <c r="G339" s="942">
        <f>G336/F337</f>
        <v>2.932022424835375E-2</v>
      </c>
      <c r="H339" s="941"/>
      <c r="I339" s="941"/>
      <c r="J339" s="942">
        <f>J336/I337</f>
        <v>3.6586496004566448E-2</v>
      </c>
      <c r="K339" s="941"/>
      <c r="L339" s="941"/>
      <c r="M339" s="941"/>
      <c r="N339" s="942">
        <f>N336/M337</f>
        <v>4.3393266389086298E-2</v>
      </c>
      <c r="O339" s="941"/>
      <c r="P339" s="941"/>
      <c r="Q339" s="942">
        <f>Q336/P337</f>
        <v>5.0947867298578198E-2</v>
      </c>
      <c r="R339" s="941"/>
      <c r="S339" s="941"/>
      <c r="T339" s="942">
        <f>T336/S337</f>
        <v>5.8143975558525872E-2</v>
      </c>
      <c r="U339" s="941"/>
      <c r="V339" s="941"/>
      <c r="W339" s="942">
        <f>W336/V337</f>
        <v>6.6572707677002158E-2</v>
      </c>
      <c r="X339" s="941"/>
      <c r="Y339" s="941"/>
      <c r="Z339" s="942">
        <f>Z336/Y337</f>
        <v>7.095128173976431E-2</v>
      </c>
      <c r="AA339" s="941"/>
      <c r="AB339" s="941"/>
      <c r="AC339" s="942">
        <f>AC336/AB337</f>
        <v>6.3749138525155069E-2</v>
      </c>
      <c r="AD339" s="941"/>
      <c r="AE339" s="941"/>
      <c r="AF339" s="942">
        <f>AF336/AE337</f>
        <v>6.6716577114955239E-2</v>
      </c>
      <c r="AG339" s="941"/>
      <c r="AH339" s="941"/>
      <c r="AI339" s="942">
        <f>AI336/AH337</f>
        <v>7.5313807531380755E-2</v>
      </c>
      <c r="AJ339" s="1170"/>
    </row>
    <row r="340" spans="2:37" ht="14.1" x14ac:dyDescent="0.5">
      <c r="B340" s="613" t="s">
        <v>1174</v>
      </c>
      <c r="C340" s="613"/>
      <c r="D340" s="615">
        <f>D338+D339</f>
        <v>5.0858808020376012E-2</v>
      </c>
      <c r="E340" s="552"/>
      <c r="F340" s="613"/>
      <c r="G340" s="615">
        <f>G338+G339</f>
        <v>5.8831220726551642E-2</v>
      </c>
      <c r="H340" s="613"/>
      <c r="I340" s="613"/>
      <c r="J340" s="615">
        <f>J338+J339</f>
        <v>6.7673687888082978E-2</v>
      </c>
      <c r="K340" s="613"/>
      <c r="L340" s="613"/>
      <c r="M340" s="613"/>
      <c r="N340" s="615">
        <f>N338+N339</f>
        <v>7.7314256339257009E-2</v>
      </c>
      <c r="O340" s="613"/>
      <c r="P340" s="613"/>
      <c r="Q340" s="615">
        <f>Q338+Q339</f>
        <v>7.8306764325721673E-2</v>
      </c>
      <c r="R340" s="613"/>
      <c r="S340" s="552"/>
      <c r="T340" s="615">
        <f>T338+T339</f>
        <v>8.8886767233148756E-2</v>
      </c>
      <c r="U340" s="552"/>
      <c r="V340" s="552"/>
      <c r="W340" s="615">
        <f>W338+W339</f>
        <v>9.8491129165975799E-2</v>
      </c>
      <c r="X340" s="552"/>
      <c r="Y340" s="552"/>
      <c r="Z340" s="615">
        <f>Z338+Z339</f>
        <v>0.10343012189689386</v>
      </c>
      <c r="AA340" s="552"/>
      <c r="AB340" s="552"/>
      <c r="AC340" s="615">
        <f>AC338+AC339</f>
        <v>9.6691936595451417E-2</v>
      </c>
      <c r="AD340" s="552"/>
      <c r="AE340" s="552"/>
      <c r="AF340" s="615">
        <f>AF338+AF339</f>
        <v>0.10282435718213559</v>
      </c>
      <c r="AG340" s="552"/>
      <c r="AH340" s="552"/>
      <c r="AI340" s="615">
        <f>AI338+AI339</f>
        <v>0.1102510460251046</v>
      </c>
      <c r="AJ340" s="552"/>
    </row>
    <row r="341" spans="2:37" ht="14.1" x14ac:dyDescent="0.5">
      <c r="B341" s="552"/>
      <c r="C341" s="552"/>
      <c r="D341" s="552"/>
      <c r="E341" s="552"/>
      <c r="F341" s="552"/>
      <c r="G341" s="552"/>
      <c r="H341" s="552"/>
      <c r="I341" s="552"/>
      <c r="J341" s="552"/>
      <c r="K341" s="552"/>
      <c r="L341" s="552"/>
      <c r="M341" s="552"/>
      <c r="N341" s="552"/>
      <c r="O341" s="552"/>
      <c r="P341" s="552"/>
      <c r="Q341" s="552"/>
      <c r="R341" s="552"/>
      <c r="S341" s="552"/>
      <c r="T341" s="552"/>
      <c r="U341" s="552"/>
      <c r="V341" s="552"/>
      <c r="W341" s="552"/>
      <c r="X341" s="552"/>
      <c r="Y341" s="552"/>
      <c r="Z341" s="552"/>
      <c r="AA341" s="552"/>
      <c r="AB341" s="552"/>
      <c r="AC341" s="552"/>
      <c r="AD341" s="552"/>
      <c r="AE341" s="552"/>
      <c r="AF341" s="552"/>
      <c r="AG341" s="552"/>
      <c r="AH341" s="552"/>
      <c r="AI341" s="552"/>
      <c r="AJ341" s="552"/>
    </row>
    <row r="342" spans="2:37" ht="14.1" x14ac:dyDescent="0.5">
      <c r="B342" s="613" t="s">
        <v>218</v>
      </c>
      <c r="C342" s="614" t="s">
        <v>1168</v>
      </c>
      <c r="D342" s="614" t="s">
        <v>1252</v>
      </c>
      <c r="E342" s="614" t="s">
        <v>1169</v>
      </c>
      <c r="F342" s="614" t="s">
        <v>1168</v>
      </c>
      <c r="G342" s="614" t="s">
        <v>1252</v>
      </c>
      <c r="H342" s="614" t="s">
        <v>1169</v>
      </c>
      <c r="I342" s="614" t="s">
        <v>1168</v>
      </c>
      <c r="J342" s="614" t="s">
        <v>1252</v>
      </c>
      <c r="K342" s="614" t="s">
        <v>1169</v>
      </c>
      <c r="L342" s="614"/>
      <c r="M342" s="614" t="s">
        <v>1168</v>
      </c>
      <c r="N342" s="614" t="s">
        <v>1252</v>
      </c>
      <c r="O342" s="614" t="s">
        <v>1169</v>
      </c>
      <c r="P342" s="614" t="s">
        <v>1168</v>
      </c>
      <c r="Q342" s="614" t="s">
        <v>1252</v>
      </c>
      <c r="R342" s="614" t="s">
        <v>1169</v>
      </c>
      <c r="S342" s="614" t="s">
        <v>1168</v>
      </c>
      <c r="T342" s="614" t="s">
        <v>1252</v>
      </c>
      <c r="U342" s="614" t="s">
        <v>1169</v>
      </c>
      <c r="V342" s="614" t="s">
        <v>1168</v>
      </c>
      <c r="W342" s="614" t="s">
        <v>1252</v>
      </c>
      <c r="X342" s="614" t="s">
        <v>1169</v>
      </c>
      <c r="Y342" s="614" t="s">
        <v>1168</v>
      </c>
      <c r="Z342" s="614" t="s">
        <v>1252</v>
      </c>
      <c r="AA342" s="614" t="s">
        <v>1169</v>
      </c>
      <c r="AB342" s="614" t="s">
        <v>1168</v>
      </c>
      <c r="AC342" s="614" t="s">
        <v>1252</v>
      </c>
      <c r="AD342" s="614" t="s">
        <v>1169</v>
      </c>
      <c r="AE342" s="614" t="s">
        <v>1168</v>
      </c>
      <c r="AF342" s="614" t="s">
        <v>1252</v>
      </c>
      <c r="AG342" s="614" t="s">
        <v>1169</v>
      </c>
      <c r="AH342" s="614" t="s">
        <v>1168</v>
      </c>
      <c r="AI342" s="614" t="s">
        <v>1252</v>
      </c>
      <c r="AJ342" s="614" t="s">
        <v>1169</v>
      </c>
    </row>
    <row r="343" spans="2:37" ht="14.1" x14ac:dyDescent="0.5">
      <c r="B343" s="552" t="s">
        <v>1165</v>
      </c>
      <c r="C343" s="568">
        <f>C346-C345-C344</f>
        <v>1129.5060000000001</v>
      </c>
      <c r="D343" s="568">
        <f>D346-D345-D344</f>
        <v>68.936000000000007</v>
      </c>
      <c r="E343" s="611">
        <f>D343/C343</f>
        <v>6.1031990976586223E-2</v>
      </c>
      <c r="F343" s="568">
        <f>F346-F345-F344</f>
        <v>1507.3999999999999</v>
      </c>
      <c r="G343" s="568">
        <f>G346-G345-G344</f>
        <v>81.299999999999983</v>
      </c>
      <c r="H343" s="611">
        <f>G343/F343</f>
        <v>5.3933925965238154E-2</v>
      </c>
      <c r="I343" s="568">
        <f>I346-I345-I344</f>
        <v>1486.953</v>
      </c>
      <c r="J343" s="568">
        <f>J346-J345-J344</f>
        <v>70.376999999999981</v>
      </c>
      <c r="K343" s="611">
        <f>J343/I343</f>
        <v>4.7329673500103892E-2</v>
      </c>
      <c r="L343" s="611"/>
      <c r="M343" s="568">
        <f>M346-M345-M344</f>
        <v>1412.201</v>
      </c>
      <c r="N343" s="568">
        <f>N346-N345-N344</f>
        <v>69.13</v>
      </c>
      <c r="O343" s="611">
        <f>N343/M343</f>
        <v>4.895195513953042E-2</v>
      </c>
      <c r="P343" s="568">
        <f>P346-P345-P344</f>
        <v>1518</v>
      </c>
      <c r="Q343" s="568">
        <f>Q346-Q345-Q344</f>
        <v>76</v>
      </c>
      <c r="R343" s="611">
        <f>Q343/P343</f>
        <v>5.0065876152832672E-2</v>
      </c>
      <c r="S343" s="568">
        <f>S346-S345-S344</f>
        <v>1834</v>
      </c>
      <c r="T343" s="568">
        <f>T346-T345-T344</f>
        <v>83</v>
      </c>
      <c r="U343" s="611">
        <f>T343/S343</f>
        <v>4.5256270447110142E-2</v>
      </c>
      <c r="V343" s="568">
        <f>V346-V345-V344</f>
        <v>2132</v>
      </c>
      <c r="W343" s="568">
        <f>W346-W345-W344</f>
        <v>81</v>
      </c>
      <c r="X343" s="611">
        <f>W343/V343</f>
        <v>3.7992495309568483E-2</v>
      </c>
      <c r="Y343" s="568">
        <f>Y346-Y345-Y344</f>
        <v>2458.9780000000001</v>
      </c>
      <c r="Z343" s="568">
        <f>Z346-Z345-Z344</f>
        <v>128</v>
      </c>
      <c r="AA343" s="611">
        <f>Z343/Y343</f>
        <v>5.2054146072067334E-2</v>
      </c>
      <c r="AB343" s="568">
        <f>AB346-AB345-AB344</f>
        <v>2832</v>
      </c>
      <c r="AC343" s="568">
        <f>AC346-AC345-AC344</f>
        <v>145</v>
      </c>
      <c r="AD343" s="611">
        <f>AC343/AB343</f>
        <v>5.1200564971751412E-2</v>
      </c>
      <c r="AE343" s="568">
        <f>AE346-AE345-AE344</f>
        <v>3425</v>
      </c>
      <c r="AF343" s="568">
        <f>AF346-AF345-AF344</f>
        <v>174</v>
      </c>
      <c r="AG343" s="611">
        <f>AF343/AE343</f>
        <v>5.08029197080292E-2</v>
      </c>
      <c r="AH343" s="568">
        <v>3527</v>
      </c>
      <c r="AI343" s="568">
        <v>171</v>
      </c>
      <c r="AJ343" s="611">
        <f>AI343/AH343</f>
        <v>4.8483130138928271E-2</v>
      </c>
    </row>
    <row r="344" spans="2:37" ht="14.1" x14ac:dyDescent="0.5">
      <c r="B344" s="552" t="s">
        <v>1166</v>
      </c>
      <c r="C344" s="568">
        <v>200.04</v>
      </c>
      <c r="D344" s="568">
        <v>72.900000000000006</v>
      </c>
      <c r="E344" s="611">
        <f>D344/C344</f>
        <v>0.3644271145770846</v>
      </c>
      <c r="F344" s="568">
        <v>364.7</v>
      </c>
      <c r="G344" s="568">
        <v>139.4</v>
      </c>
      <c r="H344" s="611">
        <f>G344/F344</f>
        <v>0.38223197148341104</v>
      </c>
      <c r="I344" s="568">
        <v>376.7</v>
      </c>
      <c r="J344" s="568">
        <v>142.4</v>
      </c>
      <c r="K344" s="611">
        <f>J344/I344</f>
        <v>0.37801964427926737</v>
      </c>
      <c r="L344" s="611"/>
      <c r="M344" s="568">
        <v>399.65</v>
      </c>
      <c r="N344" s="568">
        <v>165.7</v>
      </c>
      <c r="O344" s="611">
        <f>N344/M344</f>
        <v>0.41461278618791442</v>
      </c>
      <c r="P344" s="568">
        <v>351</v>
      </c>
      <c r="Q344" s="568">
        <v>148</v>
      </c>
      <c r="R344" s="611">
        <f>Q344/P344</f>
        <v>0.42165242165242167</v>
      </c>
      <c r="S344" s="568">
        <v>381</v>
      </c>
      <c r="T344" s="568">
        <v>151</v>
      </c>
      <c r="U344" s="611">
        <f>T344/S344</f>
        <v>0.39632545931758528</v>
      </c>
      <c r="V344" s="568">
        <v>512</v>
      </c>
      <c r="W344" s="568">
        <v>176</v>
      </c>
      <c r="X344" s="611">
        <f>W344/V344</f>
        <v>0.34375</v>
      </c>
      <c r="Y344" s="568">
        <v>475</v>
      </c>
      <c r="Z344" s="568">
        <v>164</v>
      </c>
      <c r="AA344" s="611">
        <f>Z344/Y344</f>
        <v>0.34526315789473683</v>
      </c>
      <c r="AB344" s="568">
        <v>648</v>
      </c>
      <c r="AC344" s="568">
        <v>224</v>
      </c>
      <c r="AD344" s="611">
        <f>AC344/AB344</f>
        <v>0.34567901234567899</v>
      </c>
      <c r="AE344" s="568">
        <v>785</v>
      </c>
      <c r="AF344" s="568">
        <v>294</v>
      </c>
      <c r="AG344" s="611">
        <f>AF344/AE344</f>
        <v>0.37452229299363055</v>
      </c>
      <c r="AH344" s="568">
        <v>805</v>
      </c>
      <c r="AI344" s="568">
        <v>282</v>
      </c>
      <c r="AJ344" s="611">
        <f>AI344/AH344</f>
        <v>0.35031055900621116</v>
      </c>
    </row>
    <row r="345" spans="2:37" ht="14.1" x14ac:dyDescent="0.5">
      <c r="B345" s="618" t="s">
        <v>1167</v>
      </c>
      <c r="C345" s="936">
        <v>62.8</v>
      </c>
      <c r="D345" s="936">
        <v>55.7</v>
      </c>
      <c r="E345" s="612">
        <f>D345/C345</f>
        <v>0.88694267515923575</v>
      </c>
      <c r="F345" s="936">
        <v>135.4</v>
      </c>
      <c r="G345" s="936">
        <v>119.8</v>
      </c>
      <c r="H345" s="612">
        <f>G345/F345</f>
        <v>0.88478581979320525</v>
      </c>
      <c r="I345" s="936">
        <v>82.4</v>
      </c>
      <c r="J345" s="936">
        <v>57.5</v>
      </c>
      <c r="K345" s="612">
        <f>J345/I345</f>
        <v>0.69781553398058249</v>
      </c>
      <c r="L345" s="612"/>
      <c r="M345" s="936">
        <v>92.884</v>
      </c>
      <c r="N345" s="936">
        <v>66.8</v>
      </c>
      <c r="O345" s="612">
        <f>N345/M345</f>
        <v>0.71917660738124967</v>
      </c>
      <c r="P345" s="936">
        <v>104</v>
      </c>
      <c r="Q345" s="936">
        <v>76</v>
      </c>
      <c r="R345" s="612">
        <f>Q345/P345</f>
        <v>0.73076923076923073</v>
      </c>
      <c r="S345" s="936">
        <v>121</v>
      </c>
      <c r="T345" s="936">
        <v>82</v>
      </c>
      <c r="U345" s="612">
        <f>T345/S345</f>
        <v>0.6776859504132231</v>
      </c>
      <c r="V345" s="936">
        <v>148</v>
      </c>
      <c r="W345" s="936">
        <v>102</v>
      </c>
      <c r="X345" s="612">
        <f>W345/V345</f>
        <v>0.68918918918918914</v>
      </c>
      <c r="Y345" s="936">
        <v>157</v>
      </c>
      <c r="Z345" s="936">
        <v>109</v>
      </c>
      <c r="AA345" s="612">
        <f>Z345/Y345</f>
        <v>0.69426751592356684</v>
      </c>
      <c r="AB345" s="936">
        <v>234</v>
      </c>
      <c r="AC345" s="936">
        <v>143</v>
      </c>
      <c r="AD345" s="612">
        <f>AC345/AB345</f>
        <v>0.61111111111111116</v>
      </c>
      <c r="AE345" s="936">
        <v>269</v>
      </c>
      <c r="AF345" s="936">
        <v>147</v>
      </c>
      <c r="AG345" s="612">
        <f>AF345/AE345</f>
        <v>0.54646840148698883</v>
      </c>
      <c r="AH345" s="936">
        <v>300</v>
      </c>
      <c r="AI345" s="936">
        <v>171</v>
      </c>
      <c r="AJ345" s="612">
        <f>AI345/AH345</f>
        <v>0.56999999999999995</v>
      </c>
    </row>
    <row r="346" spans="2:37" ht="14.4" thickBot="1" x14ac:dyDescent="0.55000000000000004">
      <c r="B346" s="552"/>
      <c r="C346" s="568">
        <f>Quarts!K246</f>
        <v>1392.346</v>
      </c>
      <c r="D346" s="568">
        <f>Quarts!K252</f>
        <v>197.536</v>
      </c>
      <c r="E346" s="611">
        <f>D346/C346</f>
        <v>0.14187278162180952</v>
      </c>
      <c r="F346" s="568">
        <f>Quarts!M246</f>
        <v>2007.5</v>
      </c>
      <c r="G346" s="568">
        <f>Quarts!M252</f>
        <v>340.5</v>
      </c>
      <c r="H346" s="611">
        <f>G346/F346</f>
        <v>0.16961394769613947</v>
      </c>
      <c r="I346" s="568">
        <f>Quarts!N246</f>
        <v>1946.0530000000001</v>
      </c>
      <c r="J346" s="568">
        <f>Quarts!N252</f>
        <v>270.27699999999999</v>
      </c>
      <c r="K346" s="611">
        <f>J346/I346</f>
        <v>0.13888470663440305</v>
      </c>
      <c r="L346" s="611"/>
      <c r="M346" s="568">
        <f>Quarts!O246</f>
        <v>1904.7350000000001</v>
      </c>
      <c r="N346" s="568">
        <f>Quarts!O252</f>
        <v>301.63</v>
      </c>
      <c r="O346" s="611">
        <f>N346/M346</f>
        <v>0.15835798680656363</v>
      </c>
      <c r="P346" s="568">
        <f>Quarts!P246</f>
        <v>1973</v>
      </c>
      <c r="Q346" s="568">
        <f>Quarts!P252</f>
        <v>300</v>
      </c>
      <c r="R346" s="611">
        <f>Q346/P346</f>
        <v>0.15205271160669032</v>
      </c>
      <c r="S346" s="1159">
        <f>Quarts!R246</f>
        <v>2336</v>
      </c>
      <c r="T346" s="1159">
        <f>Quarts!R252</f>
        <v>316</v>
      </c>
      <c r="U346" s="611">
        <f>T346/S346</f>
        <v>0.13527397260273974</v>
      </c>
      <c r="V346" s="1159">
        <f>Quarts!S246</f>
        <v>2792</v>
      </c>
      <c r="W346" s="1159">
        <f>Quarts!S252</f>
        <v>359</v>
      </c>
      <c r="X346" s="611">
        <f>W346/V346</f>
        <v>0.12858166189111747</v>
      </c>
      <c r="Y346" s="1159">
        <f>Quarts!T246</f>
        <v>3090.9780000000001</v>
      </c>
      <c r="Z346" s="1159">
        <f>Quarts!T252</f>
        <v>401</v>
      </c>
      <c r="AA346" s="611">
        <f>Z346/Y346</f>
        <v>0.1297324018482176</v>
      </c>
      <c r="AB346" s="1159">
        <f>Quarts!U246</f>
        <v>3714</v>
      </c>
      <c r="AC346" s="1159">
        <f>Quarts!U252</f>
        <v>512</v>
      </c>
      <c r="AD346" s="611">
        <f>AC346/AB346</f>
        <v>0.13785675821217017</v>
      </c>
      <c r="AE346" s="1159">
        <f>Quarts!W246</f>
        <v>4479</v>
      </c>
      <c r="AF346" s="1159">
        <f>Quarts!W252</f>
        <v>615</v>
      </c>
      <c r="AG346" s="611">
        <f>AF346/AE346</f>
        <v>0.13730743469524448</v>
      </c>
      <c r="AH346" s="1159">
        <f>Quarts!X246</f>
        <v>4631.4489999999996</v>
      </c>
      <c r="AI346" s="1159">
        <f>Quarts!X252</f>
        <v>623.44899999999996</v>
      </c>
      <c r="AJ346" s="611">
        <f>AI346/AH346</f>
        <v>0.13461208360493659</v>
      </c>
    </row>
    <row r="347" spans="2:37" ht="14.1" x14ac:dyDescent="0.5">
      <c r="B347" s="937" t="s">
        <v>1172</v>
      </c>
      <c r="C347" s="938"/>
      <c r="D347" s="939">
        <f>D344/C346</f>
        <v>5.2357675462851909E-2</v>
      </c>
      <c r="E347" s="1168"/>
      <c r="F347" s="938"/>
      <c r="G347" s="939">
        <f>G344/F346</f>
        <v>6.9439601494396014E-2</v>
      </c>
      <c r="H347" s="939"/>
      <c r="I347" s="938"/>
      <c r="J347" s="939">
        <f>J344/I346</f>
        <v>7.3173752205104386E-2</v>
      </c>
      <c r="K347" s="939"/>
      <c r="L347" s="939"/>
      <c r="M347" s="938"/>
      <c r="N347" s="939">
        <f>N344/M346</f>
        <v>8.6993728786419103E-2</v>
      </c>
      <c r="O347" s="939"/>
      <c r="P347" s="938"/>
      <c r="Q347" s="939">
        <f>Q344/P346</f>
        <v>7.5012671059300554E-2</v>
      </c>
      <c r="R347" s="939"/>
      <c r="S347" s="1161"/>
      <c r="T347" s="939">
        <f>T344/S346</f>
        <v>6.4640410958904104E-2</v>
      </c>
      <c r="U347" s="1161"/>
      <c r="V347" s="1161"/>
      <c r="W347" s="939">
        <f>W344/V346</f>
        <v>6.3037249283667621E-2</v>
      </c>
      <c r="X347" s="1161"/>
      <c r="Y347" s="1161"/>
      <c r="Z347" s="939">
        <f>Z344/Y346</f>
        <v>5.3057640656128897E-2</v>
      </c>
      <c r="AA347" s="1161"/>
      <c r="AB347" s="1161"/>
      <c r="AC347" s="939">
        <f>AC344/AB346</f>
        <v>6.0312331717824449E-2</v>
      </c>
      <c r="AD347" s="1161"/>
      <c r="AE347" s="1161"/>
      <c r="AF347" s="939">
        <f>AF344/AE346</f>
        <v>6.5639651707970523E-2</v>
      </c>
      <c r="AG347" s="1161"/>
      <c r="AH347" s="1161"/>
      <c r="AI347" s="939">
        <f>AI344/AH346</f>
        <v>6.0888071961928115E-2</v>
      </c>
      <c r="AJ347" s="1130"/>
    </row>
    <row r="348" spans="2:37" ht="14.4" thickBot="1" x14ac:dyDescent="0.55000000000000004">
      <c r="B348" s="940" t="s">
        <v>1173</v>
      </c>
      <c r="C348" s="941"/>
      <c r="D348" s="942">
        <f>D345/C346</f>
        <v>4.0004424187665998E-2</v>
      </c>
      <c r="E348" s="1162"/>
      <c r="F348" s="941"/>
      <c r="G348" s="942">
        <f>G345/F346</f>
        <v>5.967621419676214E-2</v>
      </c>
      <c r="H348" s="941"/>
      <c r="I348" s="941"/>
      <c r="J348" s="942">
        <f>J345/I346</f>
        <v>2.95469856165274E-2</v>
      </c>
      <c r="K348" s="941"/>
      <c r="L348" s="941"/>
      <c r="M348" s="941"/>
      <c r="N348" s="942">
        <f>N345/M346</f>
        <v>3.5070495370747107E-2</v>
      </c>
      <c r="O348" s="941"/>
      <c r="P348" s="941"/>
      <c r="Q348" s="942">
        <f>Q345/P346</f>
        <v>3.8520020273694881E-2</v>
      </c>
      <c r="R348" s="941"/>
      <c r="S348" s="1162"/>
      <c r="T348" s="942">
        <f>T345/S346</f>
        <v>3.5102739726027399E-2</v>
      </c>
      <c r="U348" s="1162"/>
      <c r="V348" s="1162"/>
      <c r="W348" s="942">
        <f>W345/V346</f>
        <v>3.6532951289398284E-2</v>
      </c>
      <c r="X348" s="1162"/>
      <c r="Y348" s="1162"/>
      <c r="Z348" s="942">
        <f>Z345/Y346</f>
        <v>3.5263919704378352E-2</v>
      </c>
      <c r="AA348" s="1162"/>
      <c r="AB348" s="1162"/>
      <c r="AC348" s="942">
        <f>AC345/AB346</f>
        <v>3.8502961766289714E-2</v>
      </c>
      <c r="AD348" s="1162"/>
      <c r="AE348" s="1162"/>
      <c r="AF348" s="942">
        <f>AF345/AE346</f>
        <v>3.2819825853985261E-2</v>
      </c>
      <c r="AG348" s="1162"/>
      <c r="AH348" s="1162"/>
      <c r="AI348" s="942">
        <f>AI345/AH346</f>
        <v>3.6921490444998963E-2</v>
      </c>
      <c r="AJ348" s="1171"/>
    </row>
    <row r="349" spans="2:37" ht="14.1" x14ac:dyDescent="0.5">
      <c r="B349" s="613" t="s">
        <v>1174</v>
      </c>
      <c r="C349" s="613"/>
      <c r="D349" s="615">
        <f>D347+D348</f>
        <v>9.2362099650517906E-2</v>
      </c>
      <c r="E349" s="552"/>
      <c r="F349" s="613"/>
      <c r="G349" s="615">
        <f>G347+G348</f>
        <v>0.12911581569115815</v>
      </c>
      <c r="H349" s="613"/>
      <c r="I349" s="613"/>
      <c r="J349" s="615">
        <f>J347+J348</f>
        <v>0.10272073782163178</v>
      </c>
      <c r="K349" s="613"/>
      <c r="L349" s="613"/>
      <c r="M349" s="552"/>
      <c r="N349" s="615">
        <f>N347+N348</f>
        <v>0.12206422415716621</v>
      </c>
      <c r="O349" s="613"/>
      <c r="P349" s="552"/>
      <c r="Q349" s="615">
        <f>Q347+Q348</f>
        <v>0.11353269133299543</v>
      </c>
      <c r="R349" s="613"/>
      <c r="S349" s="552"/>
      <c r="T349" s="615">
        <f>T347+T348</f>
        <v>9.9743150684931503E-2</v>
      </c>
      <c r="U349" s="552"/>
      <c r="V349" s="552"/>
      <c r="W349" s="615">
        <f>W347+W348</f>
        <v>9.9570200573065898E-2</v>
      </c>
      <c r="X349" s="552"/>
      <c r="Y349" s="552"/>
      <c r="Z349" s="615">
        <f>Z347+Z348</f>
        <v>8.8321560360507256E-2</v>
      </c>
      <c r="AA349" s="552"/>
      <c r="AB349" s="552"/>
      <c r="AC349" s="615">
        <f>AC347+AC348</f>
        <v>9.8815293484114164E-2</v>
      </c>
      <c r="AD349" s="552"/>
      <c r="AE349" s="552"/>
      <c r="AF349" s="615">
        <f>AF347+AF348</f>
        <v>9.8459477561955777E-2</v>
      </c>
      <c r="AG349" s="552"/>
      <c r="AH349" s="552"/>
      <c r="AI349" s="615">
        <f>AI347+AI348</f>
        <v>9.7809562406927078E-2</v>
      </c>
      <c r="AJ349" s="552"/>
    </row>
    <row r="350" spans="2:37" ht="14.1" x14ac:dyDescent="0.5">
      <c r="B350" s="552"/>
      <c r="C350" s="552"/>
      <c r="D350" s="552"/>
      <c r="E350" s="552"/>
      <c r="F350" s="552"/>
      <c r="G350" s="552"/>
      <c r="H350" s="552"/>
      <c r="I350" s="552"/>
      <c r="J350" s="552"/>
      <c r="K350" s="552"/>
      <c r="L350" s="552"/>
      <c r="M350" s="552"/>
      <c r="N350" s="552"/>
      <c r="O350" s="552"/>
      <c r="P350" s="552"/>
      <c r="Q350" s="552"/>
      <c r="R350" s="552"/>
      <c r="S350" s="552"/>
      <c r="T350" s="552"/>
      <c r="U350" s="552"/>
      <c r="V350" s="552"/>
      <c r="W350" s="552"/>
      <c r="X350" s="552"/>
      <c r="Y350" s="552"/>
      <c r="Z350" s="552"/>
      <c r="AA350" s="552"/>
      <c r="AB350" s="552"/>
      <c r="AC350" s="552"/>
      <c r="AD350" s="552"/>
      <c r="AE350" s="552"/>
      <c r="AF350" s="552"/>
      <c r="AG350" s="552"/>
      <c r="AH350" s="552"/>
      <c r="AI350" s="552"/>
      <c r="AJ350" s="552"/>
    </row>
    <row r="351" spans="2:37" ht="14.1" x14ac:dyDescent="0.5">
      <c r="B351" s="552"/>
      <c r="C351" s="552"/>
      <c r="D351" s="552"/>
      <c r="E351" s="552"/>
      <c r="F351" s="552"/>
      <c r="G351" s="552"/>
      <c r="H351" s="552"/>
      <c r="I351" s="552"/>
      <c r="J351" s="552"/>
      <c r="K351" s="552"/>
      <c r="L351" s="552"/>
      <c r="M351" s="552"/>
      <c r="N351" s="552"/>
      <c r="O351" s="552"/>
      <c r="P351" s="552"/>
      <c r="Q351" s="552"/>
      <c r="R351" s="552"/>
      <c r="S351" s="552"/>
      <c r="T351" s="552"/>
      <c r="U351" s="552"/>
      <c r="V351" s="552"/>
      <c r="W351" s="568">
        <f>W337+W346</f>
        <v>2033</v>
      </c>
      <c r="X351" s="552"/>
      <c r="Y351" s="552"/>
      <c r="Z351" s="568">
        <f>Z337+Z346</f>
        <v>2252</v>
      </c>
      <c r="AA351" s="552"/>
      <c r="AB351" s="552"/>
      <c r="AC351" s="568">
        <f>AC337+AC346</f>
        <v>2608</v>
      </c>
      <c r="AD351" s="552"/>
      <c r="AE351" s="552"/>
      <c r="AF351" s="568">
        <f>AF337+AF346</f>
        <v>2912</v>
      </c>
      <c r="AG351" s="552"/>
      <c r="AH351" s="552"/>
      <c r="AI351" s="568">
        <f>AI337+AI346</f>
        <v>2936.4490000000001</v>
      </c>
      <c r="AJ351" s="552"/>
    </row>
    <row r="352" spans="2:37" ht="14.1" x14ac:dyDescent="0.5">
      <c r="B352" s="552"/>
      <c r="C352" s="552"/>
      <c r="D352" s="552"/>
      <c r="E352" s="552"/>
      <c r="F352" s="552"/>
      <c r="G352" s="552"/>
      <c r="H352" s="552"/>
      <c r="I352" s="552"/>
      <c r="J352" s="552"/>
      <c r="K352" s="552"/>
      <c r="L352" s="552"/>
      <c r="M352" s="552"/>
      <c r="N352" s="552"/>
      <c r="O352" s="552"/>
      <c r="P352" s="552"/>
      <c r="Q352" s="552"/>
      <c r="R352" s="552"/>
      <c r="S352" s="552"/>
      <c r="T352" s="552"/>
      <c r="U352" s="552"/>
      <c r="V352" s="552"/>
      <c r="W352" s="552"/>
      <c r="X352" s="552"/>
      <c r="Y352" s="552"/>
      <c r="Z352" s="552"/>
      <c r="AA352" s="552"/>
      <c r="AB352" s="552"/>
      <c r="AC352" s="552"/>
      <c r="AD352" s="552"/>
      <c r="AE352" s="552"/>
      <c r="AF352" s="552"/>
      <c r="AG352" s="552"/>
      <c r="AH352" s="552"/>
      <c r="AI352" s="552"/>
      <c r="AJ352" s="552"/>
    </row>
    <row r="353" spans="2:36" ht="14.1" x14ac:dyDescent="0.5">
      <c r="B353" s="613" t="s">
        <v>1981</v>
      </c>
      <c r="C353" s="552"/>
      <c r="D353" s="552"/>
      <c r="E353" s="552"/>
      <c r="F353" s="614" t="str">
        <f>F332</f>
        <v>Q1 22</v>
      </c>
      <c r="G353" s="614"/>
      <c r="H353" s="614"/>
      <c r="I353" s="614" t="str">
        <f>I332</f>
        <v>Q2 22</v>
      </c>
      <c r="J353" s="614"/>
      <c r="K353" s="614"/>
      <c r="L353" s="614"/>
      <c r="M353" s="614" t="str">
        <f>M332</f>
        <v>Q3 22</v>
      </c>
      <c r="N353" s="614"/>
      <c r="O353" s="614"/>
      <c r="P353" s="614" t="str">
        <f>P332</f>
        <v>Q4 22</v>
      </c>
      <c r="Q353" s="614"/>
      <c r="R353" s="614"/>
      <c r="S353" s="614" t="str">
        <f>S332</f>
        <v>Q1 23</v>
      </c>
      <c r="T353" s="614"/>
      <c r="U353" s="614"/>
      <c r="V353" s="614" t="str">
        <f>V332</f>
        <v>Q2 23</v>
      </c>
      <c r="W353" s="614"/>
      <c r="X353" s="614"/>
      <c r="Y353" s="614" t="str">
        <f>Y332</f>
        <v>Q3 23</v>
      </c>
      <c r="Z353" s="552"/>
      <c r="AA353" s="552"/>
      <c r="AB353" s="614" t="str">
        <f>AB332</f>
        <v>Q4 23</v>
      </c>
      <c r="AC353" s="552"/>
      <c r="AD353" s="552"/>
      <c r="AE353" s="614" t="str">
        <f>AE332</f>
        <v>Q1 24</v>
      </c>
      <c r="AF353" s="552"/>
      <c r="AG353" s="552"/>
      <c r="AH353" s="614" t="str">
        <f>AH332</f>
        <v>Q2 24</v>
      </c>
      <c r="AI353" s="552"/>
      <c r="AJ353" s="552"/>
    </row>
    <row r="354" spans="2:36" ht="14.1" x14ac:dyDescent="0.5">
      <c r="B354" s="552" t="str">
        <f>B359</f>
        <v>Credit cards</v>
      </c>
      <c r="C354" s="552"/>
      <c r="D354" s="552"/>
      <c r="E354" s="552"/>
      <c r="F354" s="568">
        <f>F336-C336</f>
        <v>84.899999999999977</v>
      </c>
      <c r="G354" s="552"/>
      <c r="H354" s="552"/>
      <c r="I354" s="568">
        <f>I336-F336</f>
        <v>77.65100000000001</v>
      </c>
      <c r="J354" s="552"/>
      <c r="K354" s="552"/>
      <c r="L354" s="552"/>
      <c r="M354" s="568">
        <f>M336-I336</f>
        <v>94.249000000000024</v>
      </c>
      <c r="N354" s="552"/>
      <c r="O354" s="552"/>
      <c r="P354" s="568">
        <f>P336-M336</f>
        <v>145.19999999999999</v>
      </c>
      <c r="Q354" s="552"/>
      <c r="R354" s="552"/>
      <c r="S354" s="568">
        <f>S336-P336</f>
        <v>125</v>
      </c>
      <c r="T354" s="552"/>
      <c r="U354" s="552"/>
      <c r="V354" s="568">
        <f>V336-S336</f>
        <v>200</v>
      </c>
      <c r="W354" s="552"/>
      <c r="X354" s="552"/>
      <c r="Y354" s="568">
        <f>Y336-V336</f>
        <v>74</v>
      </c>
      <c r="Z354" s="552"/>
      <c r="AA354" s="552"/>
      <c r="AB354" s="568">
        <f>AB336-Z336</f>
        <v>230</v>
      </c>
      <c r="AC354" s="552"/>
      <c r="AD354" s="552"/>
      <c r="AE354" s="568">
        <f>AE336-AC336</f>
        <v>294</v>
      </c>
      <c r="AF354" s="552"/>
      <c r="AG354" s="552"/>
      <c r="AH354" s="568">
        <f>AH336-AF336</f>
        <v>297</v>
      </c>
      <c r="AI354" s="552"/>
      <c r="AJ354" s="552"/>
    </row>
    <row r="355" spans="2:36" ht="14.1" x14ac:dyDescent="0.5">
      <c r="B355" s="618" t="str">
        <f>B360</f>
        <v>Loans</v>
      </c>
      <c r="C355" s="618"/>
      <c r="D355" s="618"/>
      <c r="E355" s="618"/>
      <c r="F355" s="936">
        <f>F345-C345</f>
        <v>72.600000000000009</v>
      </c>
      <c r="G355" s="618"/>
      <c r="H355" s="618"/>
      <c r="I355" s="936">
        <f>I345-F345</f>
        <v>-53</v>
      </c>
      <c r="J355" s="618"/>
      <c r="K355" s="618"/>
      <c r="L355" s="618"/>
      <c r="M355" s="936">
        <f>M345-I345</f>
        <v>10.483999999999995</v>
      </c>
      <c r="N355" s="618"/>
      <c r="O355" s="618"/>
      <c r="P355" s="936">
        <f>P345-M345</f>
        <v>11.116</v>
      </c>
      <c r="Q355" s="618"/>
      <c r="R355" s="618"/>
      <c r="S355" s="936">
        <f>S345-P345</f>
        <v>17</v>
      </c>
      <c r="T355" s="618"/>
      <c r="U355" s="618"/>
      <c r="V355" s="936">
        <f>V345-S345</f>
        <v>27</v>
      </c>
      <c r="W355" s="618"/>
      <c r="X355" s="618"/>
      <c r="Y355" s="936">
        <f>Y345-V345</f>
        <v>9</v>
      </c>
      <c r="Z355" s="618"/>
      <c r="AA355" s="618"/>
      <c r="AB355" s="936">
        <f>AB345-Z345</f>
        <v>125</v>
      </c>
      <c r="AC355" s="618"/>
      <c r="AD355" s="618"/>
      <c r="AE355" s="936">
        <f>AE345-AC345</f>
        <v>126</v>
      </c>
      <c r="AF355" s="618"/>
      <c r="AG355" s="618"/>
      <c r="AH355" s="936">
        <f>AH345-AF345</f>
        <v>153</v>
      </c>
      <c r="AI355" s="618"/>
      <c r="AJ355" s="618"/>
    </row>
    <row r="356" spans="2:36" ht="14.1" x14ac:dyDescent="0.5">
      <c r="B356" s="552" t="str">
        <f>B361</f>
        <v>Total</v>
      </c>
      <c r="C356" s="552"/>
      <c r="D356" s="552"/>
      <c r="E356" s="552"/>
      <c r="F356" s="568">
        <f>F354+F355</f>
        <v>157.5</v>
      </c>
      <c r="G356" s="552"/>
      <c r="H356" s="552"/>
      <c r="I356" s="568">
        <f>I354+I355</f>
        <v>24.65100000000001</v>
      </c>
      <c r="J356" s="552"/>
      <c r="K356" s="552"/>
      <c r="L356" s="552"/>
      <c r="M356" s="568">
        <f>M354+M355</f>
        <v>104.73300000000002</v>
      </c>
      <c r="N356" s="552"/>
      <c r="O356" s="552"/>
      <c r="P356" s="568">
        <f>P354+P355</f>
        <v>156.31599999999997</v>
      </c>
      <c r="Q356" s="552"/>
      <c r="R356" s="552"/>
      <c r="S356" s="568">
        <f>S354+S355</f>
        <v>142</v>
      </c>
      <c r="T356" s="552"/>
      <c r="U356" s="552"/>
      <c r="V356" s="568">
        <f>V354+V355</f>
        <v>227</v>
      </c>
      <c r="W356" s="552"/>
      <c r="X356" s="552"/>
      <c r="Y356" s="568">
        <f>Y354+Y355</f>
        <v>83</v>
      </c>
      <c r="Z356" s="552"/>
      <c r="AA356" s="552"/>
      <c r="AB356" s="568">
        <f>AB354+AB355</f>
        <v>355</v>
      </c>
      <c r="AC356" s="552"/>
      <c r="AD356" s="552"/>
      <c r="AE356" s="568">
        <f>AE354+AE355</f>
        <v>420</v>
      </c>
      <c r="AF356" s="552"/>
      <c r="AG356" s="552"/>
      <c r="AH356" s="568">
        <f>AH354+AH355</f>
        <v>450</v>
      </c>
      <c r="AI356" s="552"/>
      <c r="AJ356" s="552"/>
    </row>
    <row r="357" spans="2:36" ht="14.1" x14ac:dyDescent="0.5">
      <c r="B357" s="552"/>
      <c r="C357" s="552"/>
      <c r="D357" s="552"/>
      <c r="E357" s="552"/>
      <c r="F357" s="552"/>
      <c r="G357" s="552"/>
      <c r="H357" s="552"/>
      <c r="I357" s="552"/>
      <c r="J357" s="552"/>
      <c r="K357" s="552"/>
      <c r="L357" s="552"/>
      <c r="M357" s="552"/>
      <c r="N357" s="552"/>
      <c r="O357" s="552"/>
      <c r="P357" s="552"/>
      <c r="Q357" s="552"/>
      <c r="R357" s="552"/>
      <c r="S357" s="552"/>
      <c r="T357" s="552"/>
      <c r="U357" s="552"/>
      <c r="V357" s="552"/>
      <c r="W357" s="552"/>
      <c r="X357" s="552"/>
      <c r="Y357" s="552"/>
      <c r="Z357" s="552"/>
      <c r="AA357" s="552"/>
      <c r="AB357" s="552"/>
      <c r="AC357" s="552"/>
      <c r="AD357" s="552"/>
      <c r="AE357" s="552"/>
      <c r="AF357" s="552"/>
      <c r="AG357" s="552"/>
      <c r="AH357" s="552"/>
      <c r="AI357" s="552"/>
      <c r="AJ357" s="552"/>
    </row>
    <row r="358" spans="2:36" ht="14.1" x14ac:dyDescent="0.5">
      <c r="B358" s="574" t="s">
        <v>1176</v>
      </c>
      <c r="C358" s="1163" t="s">
        <v>1178</v>
      </c>
      <c r="D358" s="608"/>
      <c r="E358" s="612"/>
      <c r="F358" s="1163" t="s">
        <v>1278</v>
      </c>
      <c r="G358" s="608"/>
      <c r="H358" s="612"/>
      <c r="I358" s="1163" t="s">
        <v>1277</v>
      </c>
      <c r="J358" s="609"/>
      <c r="K358" s="1164"/>
      <c r="L358" s="1164"/>
      <c r="M358" s="1163" t="s">
        <v>1276</v>
      </c>
      <c r="N358" s="609"/>
      <c r="O358" s="1164"/>
      <c r="P358" s="1163" t="s">
        <v>1275</v>
      </c>
      <c r="Q358" s="609"/>
      <c r="R358" s="1164"/>
      <c r="S358" s="1163" t="s">
        <v>1979</v>
      </c>
      <c r="T358" s="618"/>
      <c r="U358" s="618"/>
      <c r="V358" s="1163" t="s">
        <v>1978</v>
      </c>
      <c r="W358" s="609"/>
      <c r="X358" s="1164"/>
      <c r="Y358" s="1163" t="s">
        <v>1977</v>
      </c>
      <c r="Z358" s="609"/>
      <c r="AA358" s="1164"/>
      <c r="AB358" s="1163" t="s">
        <v>2318</v>
      </c>
      <c r="AC358" s="609"/>
      <c r="AD358" s="1164"/>
      <c r="AE358" s="1163" t="s">
        <v>2319</v>
      </c>
      <c r="AF358" s="609"/>
      <c r="AG358" s="1164"/>
      <c r="AH358" s="1163" t="s">
        <v>2320</v>
      </c>
      <c r="AI358" s="609"/>
      <c r="AJ358" s="1164"/>
    </row>
    <row r="359" spans="2:36" ht="14.1" x14ac:dyDescent="0.5">
      <c r="B359" s="552" t="s">
        <v>345</v>
      </c>
      <c r="C359" s="568">
        <v>118.518</v>
      </c>
      <c r="D359" s="567"/>
      <c r="E359" s="611"/>
      <c r="F359" s="568">
        <v>50.607999999999997</v>
      </c>
      <c r="G359" s="567"/>
      <c r="H359" s="611"/>
      <c r="I359" s="568">
        <v>100.809</v>
      </c>
      <c r="J359" s="567"/>
      <c r="K359" s="611"/>
      <c r="L359" s="611"/>
      <c r="M359" s="568">
        <v>182.333</v>
      </c>
      <c r="N359" s="567"/>
      <c r="O359" s="611"/>
      <c r="P359" s="568">
        <v>290.97399999999999</v>
      </c>
      <c r="Q359" s="567"/>
      <c r="R359" s="611"/>
      <c r="S359" s="552">
        <v>175</v>
      </c>
      <c r="T359" s="552"/>
      <c r="U359" s="552"/>
      <c r="V359" s="552">
        <v>386</v>
      </c>
      <c r="W359" s="552"/>
      <c r="X359" s="552"/>
      <c r="Y359" s="552">
        <v>627</v>
      </c>
      <c r="Z359" s="552"/>
      <c r="AA359" s="552"/>
      <c r="AB359" s="552">
        <v>985</v>
      </c>
      <c r="AC359" s="552"/>
      <c r="AD359" s="552"/>
      <c r="AE359" s="552">
        <v>315</v>
      </c>
      <c r="AF359" s="552"/>
      <c r="AG359" s="552"/>
      <c r="AH359" s="552">
        <v>619</v>
      </c>
      <c r="AI359" s="552"/>
      <c r="AJ359" s="552"/>
    </row>
    <row r="360" spans="2:36" ht="14.1" x14ac:dyDescent="0.5">
      <c r="B360" s="618" t="s">
        <v>547</v>
      </c>
      <c r="C360" s="936">
        <v>13.223000000000001</v>
      </c>
      <c r="D360" s="608"/>
      <c r="E360" s="612"/>
      <c r="F360" s="936">
        <v>11.696</v>
      </c>
      <c r="G360" s="608"/>
      <c r="H360" s="612"/>
      <c r="I360" s="936">
        <v>169.452</v>
      </c>
      <c r="J360" s="608"/>
      <c r="K360" s="612"/>
      <c r="L360" s="612"/>
      <c r="M360" s="936">
        <v>282.37400000000002</v>
      </c>
      <c r="N360" s="608"/>
      <c r="O360" s="612"/>
      <c r="P360" s="936">
        <v>409</v>
      </c>
      <c r="Q360" s="608"/>
      <c r="R360" s="612"/>
      <c r="S360" s="618">
        <v>106</v>
      </c>
      <c r="T360" s="618"/>
      <c r="U360" s="618"/>
      <c r="V360" s="618">
        <v>214</v>
      </c>
      <c r="W360" s="618"/>
      <c r="X360" s="618"/>
      <c r="Y360" s="618">
        <v>330</v>
      </c>
      <c r="Z360" s="618"/>
      <c r="AA360" s="618"/>
      <c r="AB360" s="618">
        <v>451</v>
      </c>
      <c r="AC360" s="618"/>
      <c r="AD360" s="618"/>
      <c r="AE360" s="618">
        <v>214</v>
      </c>
      <c r="AF360" s="618"/>
      <c r="AG360" s="618"/>
      <c r="AH360" s="618">
        <v>381</v>
      </c>
      <c r="AI360" s="618"/>
      <c r="AJ360" s="618"/>
    </row>
    <row r="361" spans="2:36" ht="14.1" x14ac:dyDescent="0.5">
      <c r="B361" s="552" t="s">
        <v>353</v>
      </c>
      <c r="C361" s="568">
        <f>SUM(C359:C360)</f>
        <v>131.74100000000001</v>
      </c>
      <c r="D361" s="567"/>
      <c r="E361" s="611"/>
      <c r="F361" s="568">
        <f>SUM(F359:F360)</f>
        <v>62.303999999999995</v>
      </c>
      <c r="G361" s="567"/>
      <c r="H361" s="611"/>
      <c r="I361" s="568">
        <f>SUM(I359:I360)</f>
        <v>270.26099999999997</v>
      </c>
      <c r="J361" s="567"/>
      <c r="K361" s="611"/>
      <c r="L361" s="611"/>
      <c r="M361" s="568">
        <f>SUM(M359:M360)</f>
        <v>464.70699999999999</v>
      </c>
      <c r="N361" s="567"/>
      <c r="O361" s="611"/>
      <c r="P361" s="568">
        <f>SUM(P359:P360)</f>
        <v>699.97399999999993</v>
      </c>
      <c r="Q361" s="567"/>
      <c r="R361" s="611"/>
      <c r="S361" s="568">
        <f>SUM(S359:S360)</f>
        <v>281</v>
      </c>
      <c r="T361" s="552"/>
      <c r="U361" s="552"/>
      <c r="V361" s="568">
        <f>SUM(V359:V360)</f>
        <v>600</v>
      </c>
      <c r="W361" s="552"/>
      <c r="X361" s="552"/>
      <c r="Y361" s="568">
        <f>SUM(Y359:Y360)</f>
        <v>957</v>
      </c>
      <c r="Z361" s="552"/>
      <c r="AA361" s="552"/>
      <c r="AB361" s="568">
        <f>SUM(AB359:AB360)</f>
        <v>1436</v>
      </c>
      <c r="AC361" s="552"/>
      <c r="AD361" s="552"/>
      <c r="AE361" s="568">
        <f>SUM(AE359:AE360)</f>
        <v>529</v>
      </c>
      <c r="AF361" s="552"/>
      <c r="AG361" s="552"/>
      <c r="AH361" s="568">
        <f>SUM(AH359:AH360)</f>
        <v>1000</v>
      </c>
      <c r="AI361" s="552"/>
      <c r="AJ361" s="552"/>
    </row>
    <row r="362" spans="2:36" ht="14.1" x14ac:dyDescent="0.5">
      <c r="B362" s="552"/>
      <c r="C362" s="552"/>
      <c r="D362" s="552"/>
      <c r="E362" s="552"/>
      <c r="F362" s="552"/>
      <c r="G362" s="552"/>
      <c r="H362" s="552"/>
      <c r="I362" s="552"/>
      <c r="J362" s="552"/>
      <c r="K362" s="552"/>
      <c r="L362" s="552"/>
      <c r="M362" s="552"/>
      <c r="N362" s="552"/>
      <c r="O362" s="552"/>
      <c r="P362" s="552"/>
      <c r="Q362" s="552"/>
      <c r="R362" s="552"/>
      <c r="S362" s="552"/>
      <c r="T362" s="552"/>
      <c r="U362" s="552"/>
      <c r="V362" s="552"/>
      <c r="W362" s="552"/>
      <c r="X362" s="552"/>
      <c r="Y362" s="552"/>
      <c r="Z362" s="552"/>
      <c r="AA362" s="552"/>
      <c r="AB362" s="552"/>
      <c r="AC362" s="552"/>
      <c r="AD362" s="552"/>
      <c r="AE362" s="552"/>
      <c r="AF362" s="552"/>
      <c r="AG362" s="552"/>
      <c r="AH362" s="552"/>
      <c r="AI362" s="552"/>
      <c r="AJ362" s="552"/>
    </row>
    <row r="363" spans="2:36" ht="14.1" x14ac:dyDescent="0.5">
      <c r="B363" s="613" t="s">
        <v>1177</v>
      </c>
      <c r="C363" s="552"/>
      <c r="D363" s="552"/>
      <c r="E363" s="552"/>
      <c r="F363" s="614" t="str">
        <f>F332</f>
        <v>Q1 22</v>
      </c>
      <c r="G363" s="552"/>
      <c r="H363" s="552"/>
      <c r="I363" s="614" t="str">
        <f>I332</f>
        <v>Q2 22</v>
      </c>
      <c r="J363" s="614"/>
      <c r="K363" s="614"/>
      <c r="L363" s="614"/>
      <c r="M363" s="614" t="str">
        <f>M332</f>
        <v>Q3 22</v>
      </c>
      <c r="N363" s="614"/>
      <c r="O363" s="614"/>
      <c r="P363" s="614" t="str">
        <f>P332</f>
        <v>Q4 22</v>
      </c>
      <c r="Q363" s="614"/>
      <c r="R363" s="614"/>
      <c r="S363" s="614" t="str">
        <f>S332</f>
        <v>Q1 23</v>
      </c>
      <c r="T363" s="552"/>
      <c r="U363" s="552"/>
      <c r="V363" s="614" t="str">
        <f>V332</f>
        <v>Q2 23</v>
      </c>
      <c r="W363" s="552"/>
      <c r="X363" s="552"/>
      <c r="Y363" s="614" t="str">
        <f>Y332</f>
        <v>Q3 23</v>
      </c>
      <c r="Z363" s="552"/>
      <c r="AA363" s="552"/>
      <c r="AB363" s="614" t="str">
        <f>AB332</f>
        <v>Q4 23</v>
      </c>
      <c r="AC363" s="552"/>
      <c r="AD363" s="552"/>
      <c r="AE363" s="614" t="str">
        <f>AE332</f>
        <v>Q1 24</v>
      </c>
      <c r="AF363" s="552"/>
      <c r="AG363" s="552"/>
      <c r="AH363" s="614" t="str">
        <f>AH332</f>
        <v>Q2 24</v>
      </c>
      <c r="AI363" s="552"/>
      <c r="AJ363" s="552"/>
    </row>
    <row r="364" spans="2:36" ht="14.1" x14ac:dyDescent="0.5">
      <c r="B364" s="552" t="str">
        <f>B359</f>
        <v>Credit cards</v>
      </c>
      <c r="C364" s="552"/>
      <c r="D364" s="552"/>
      <c r="E364" s="552"/>
      <c r="F364" s="568">
        <f>F359</f>
        <v>50.607999999999997</v>
      </c>
      <c r="G364" s="552"/>
      <c r="H364" s="552"/>
      <c r="I364" s="568">
        <f>I359-F359</f>
        <v>50.201000000000001</v>
      </c>
      <c r="J364" s="552"/>
      <c r="K364" s="552"/>
      <c r="L364" s="552"/>
      <c r="M364" s="568">
        <f>M359-I359</f>
        <v>81.524000000000001</v>
      </c>
      <c r="N364" s="552"/>
      <c r="O364" s="552"/>
      <c r="P364" s="568">
        <f>P359-M359</f>
        <v>108.64099999999999</v>
      </c>
      <c r="Q364" s="552"/>
      <c r="R364" s="552"/>
      <c r="S364" s="568">
        <f>S359</f>
        <v>175</v>
      </c>
      <c r="T364" s="552"/>
      <c r="U364" s="552"/>
      <c r="V364" s="568">
        <f>V359-S359</f>
        <v>211</v>
      </c>
      <c r="W364" s="552"/>
      <c r="X364" s="552"/>
      <c r="Y364" s="568">
        <f>Y359-V359</f>
        <v>241</v>
      </c>
      <c r="Z364" s="552"/>
      <c r="AA364" s="552"/>
      <c r="AB364" s="568">
        <f>AB359-Y359</f>
        <v>358</v>
      </c>
      <c r="AC364" s="552"/>
      <c r="AD364" s="552"/>
      <c r="AE364" s="568">
        <f>AE359</f>
        <v>315</v>
      </c>
      <c r="AF364" s="552"/>
      <c r="AG364" s="552"/>
      <c r="AH364" s="568">
        <f>AH359-AE359</f>
        <v>304</v>
      </c>
      <c r="AI364" s="552"/>
      <c r="AJ364" s="552"/>
    </row>
    <row r="365" spans="2:36" ht="14.1" x14ac:dyDescent="0.5">
      <c r="B365" s="618" t="str">
        <f>B360</f>
        <v>Loans</v>
      </c>
      <c r="C365" s="618"/>
      <c r="D365" s="618"/>
      <c r="E365" s="618"/>
      <c r="F365" s="936">
        <f>F360</f>
        <v>11.696</v>
      </c>
      <c r="G365" s="618"/>
      <c r="H365" s="618"/>
      <c r="I365" s="936">
        <f>I360-F360</f>
        <v>157.756</v>
      </c>
      <c r="J365" s="618"/>
      <c r="K365" s="618"/>
      <c r="L365" s="618"/>
      <c r="M365" s="936">
        <f>M360-I360</f>
        <v>112.92200000000003</v>
      </c>
      <c r="N365" s="618"/>
      <c r="O365" s="618"/>
      <c r="P365" s="936">
        <f>P360-M360</f>
        <v>126.62599999999998</v>
      </c>
      <c r="Q365" s="618"/>
      <c r="R365" s="618"/>
      <c r="S365" s="936">
        <f>S360</f>
        <v>106</v>
      </c>
      <c r="T365" s="618"/>
      <c r="U365" s="618"/>
      <c r="V365" s="936">
        <f>V360-S360</f>
        <v>108</v>
      </c>
      <c r="W365" s="618"/>
      <c r="X365" s="618"/>
      <c r="Y365" s="936">
        <f>Y360-V360</f>
        <v>116</v>
      </c>
      <c r="Z365" s="618"/>
      <c r="AA365" s="618"/>
      <c r="AB365" s="936">
        <f>AB360-Y360</f>
        <v>121</v>
      </c>
      <c r="AC365" s="618"/>
      <c r="AD365" s="618"/>
      <c r="AE365" s="936">
        <f>AE360</f>
        <v>214</v>
      </c>
      <c r="AF365" s="618"/>
      <c r="AG365" s="618"/>
      <c r="AH365" s="936">
        <f>AH360-AE360</f>
        <v>167</v>
      </c>
      <c r="AI365" s="618"/>
      <c r="AJ365" s="618"/>
    </row>
    <row r="366" spans="2:36" ht="14.1" x14ac:dyDescent="0.5">
      <c r="B366" s="552" t="s">
        <v>353</v>
      </c>
      <c r="C366" s="552"/>
      <c r="D366" s="552"/>
      <c r="E366" s="552"/>
      <c r="F366" s="568">
        <f>SUM(F364:F365)</f>
        <v>62.303999999999995</v>
      </c>
      <c r="G366" s="552"/>
      <c r="H366" s="552"/>
      <c r="I366" s="568">
        <f>SUM(I364:I365)</f>
        <v>207.95699999999999</v>
      </c>
      <c r="J366" s="567"/>
      <c r="K366" s="611"/>
      <c r="L366" s="611"/>
      <c r="M366" s="568">
        <f>SUM(M364:M365)</f>
        <v>194.44600000000003</v>
      </c>
      <c r="N366" s="567"/>
      <c r="O366" s="611"/>
      <c r="P366" s="568">
        <f>SUM(P364:P365)</f>
        <v>235.26699999999997</v>
      </c>
      <c r="Q366" s="567"/>
      <c r="R366" s="611"/>
      <c r="S366" s="568">
        <f>SUM(S364:S365)</f>
        <v>281</v>
      </c>
      <c r="T366" s="552"/>
      <c r="U366" s="552"/>
      <c r="V366" s="568">
        <f>SUM(V364:V365)</f>
        <v>319</v>
      </c>
      <c r="W366" s="567"/>
      <c r="X366" s="611"/>
      <c r="Y366" s="568">
        <f>SUM(Y364:Y365)</f>
        <v>357</v>
      </c>
      <c r="Z366" s="567"/>
      <c r="AA366" s="611"/>
      <c r="AB366" s="568">
        <f>SUM(AB364:AB365)</f>
        <v>479</v>
      </c>
      <c r="AC366" s="567"/>
      <c r="AD366" s="611"/>
      <c r="AE366" s="568">
        <f>SUM(AE364:AE365)</f>
        <v>529</v>
      </c>
      <c r="AF366" s="567"/>
      <c r="AG366" s="611"/>
      <c r="AH366" s="568">
        <f>SUM(AH364:AH365)</f>
        <v>471</v>
      </c>
      <c r="AI366" s="567"/>
      <c r="AJ366" s="611"/>
    </row>
    <row r="367" spans="2:36" ht="14.1" x14ac:dyDescent="0.5">
      <c r="B367" s="552"/>
      <c r="C367" s="552"/>
      <c r="D367" s="552"/>
      <c r="E367" s="552"/>
      <c r="F367" s="552"/>
      <c r="G367" s="552"/>
      <c r="H367" s="552"/>
      <c r="I367" s="552"/>
      <c r="J367" s="552"/>
      <c r="K367" s="552"/>
      <c r="L367" s="552"/>
      <c r="M367" s="552"/>
      <c r="N367" s="552"/>
      <c r="O367" s="552"/>
      <c r="P367" s="552"/>
      <c r="Q367" s="552"/>
      <c r="R367" s="552"/>
      <c r="S367" s="552"/>
      <c r="T367" s="552"/>
      <c r="U367" s="552"/>
      <c r="V367" s="552"/>
      <c r="W367" s="552"/>
      <c r="X367" s="552"/>
      <c r="Y367" s="552"/>
      <c r="Z367" s="552"/>
      <c r="AA367" s="552"/>
      <c r="AB367" s="552"/>
      <c r="AC367" s="552"/>
      <c r="AD367" s="552"/>
      <c r="AE367" s="552"/>
      <c r="AF367" s="552"/>
      <c r="AG367" s="552"/>
      <c r="AH367" s="552"/>
      <c r="AI367" s="552"/>
      <c r="AJ367" s="552"/>
    </row>
    <row r="368" spans="2:36" ht="14.1" x14ac:dyDescent="0.5">
      <c r="B368" s="613" t="s">
        <v>1179</v>
      </c>
      <c r="C368" s="552"/>
      <c r="D368" s="552"/>
      <c r="E368" s="552"/>
      <c r="F368" s="928" t="str">
        <f>F358</f>
        <v>3m 2022</v>
      </c>
      <c r="G368" s="552"/>
      <c r="H368" s="552"/>
      <c r="I368" s="928" t="str">
        <f>I358</f>
        <v>6m 2022</v>
      </c>
      <c r="J368" s="613"/>
      <c r="K368" s="613"/>
      <c r="L368" s="613"/>
      <c r="M368" s="928" t="str">
        <f>M358</f>
        <v>9m 2022</v>
      </c>
      <c r="N368" s="613"/>
      <c r="O368" s="613"/>
      <c r="P368" s="928" t="s">
        <v>1178</v>
      </c>
      <c r="Q368" s="613"/>
      <c r="R368" s="613"/>
      <c r="S368" s="928" t="str">
        <f>S358</f>
        <v>3m 2023</v>
      </c>
      <c r="T368" s="552"/>
      <c r="U368" s="552"/>
      <c r="V368" s="928" t="str">
        <f>V358</f>
        <v>6m 2023</v>
      </c>
      <c r="W368" s="552"/>
      <c r="X368" s="552"/>
      <c r="Y368" s="928" t="str">
        <f>Y358</f>
        <v>9m 2023</v>
      </c>
      <c r="Z368" s="552"/>
      <c r="AA368" s="552"/>
      <c r="AB368" s="928" t="str">
        <f>AB358</f>
        <v>12m 2023</v>
      </c>
      <c r="AC368" s="552"/>
      <c r="AD368" s="552"/>
      <c r="AE368" s="928" t="str">
        <f>AE358</f>
        <v>3m 2024</v>
      </c>
      <c r="AF368" s="552"/>
      <c r="AG368" s="552"/>
      <c r="AH368" s="928" t="str">
        <f>AH358</f>
        <v>6m 2024</v>
      </c>
      <c r="AI368" s="552"/>
      <c r="AJ368" s="552"/>
    </row>
    <row r="369" spans="2:36" ht="14.1" x14ac:dyDescent="0.5">
      <c r="B369" s="552" t="str">
        <f>B359</f>
        <v>Credit cards</v>
      </c>
      <c r="C369" s="552"/>
      <c r="D369" s="552"/>
      <c r="E369" s="552"/>
      <c r="F369" s="568">
        <f>F336-C336+F359</f>
        <v>135.50799999999998</v>
      </c>
      <c r="G369" s="552"/>
      <c r="H369" s="552"/>
      <c r="I369" s="568">
        <f>I336-C336+I359</f>
        <v>263.36</v>
      </c>
      <c r="J369" s="552"/>
      <c r="K369" s="552"/>
      <c r="L369" s="552"/>
      <c r="M369" s="568">
        <f>M336-C336+M359</f>
        <v>439.13300000000004</v>
      </c>
      <c r="N369" s="552"/>
      <c r="O369" s="552"/>
      <c r="P369" s="568">
        <f>P336-D336+P359</f>
        <v>751.97399999999993</v>
      </c>
      <c r="Q369" s="552"/>
      <c r="R369" s="552"/>
      <c r="S369" s="568">
        <f>S336-P336+S359</f>
        <v>300</v>
      </c>
      <c r="T369" s="552"/>
      <c r="U369" s="552"/>
      <c r="V369" s="568">
        <f>V336-P336+V359</f>
        <v>711</v>
      </c>
      <c r="W369" s="552"/>
      <c r="X369" s="552"/>
      <c r="Y369" s="568">
        <f>Y336-P336+Y359</f>
        <v>1026</v>
      </c>
      <c r="Z369" s="552"/>
      <c r="AA369" s="552"/>
      <c r="AB369" s="568">
        <f>AB336-P336+AB359</f>
        <v>1493</v>
      </c>
      <c r="AC369" s="552"/>
      <c r="AD369" s="552"/>
      <c r="AE369" s="568">
        <f>AE336-AB336+AE359</f>
        <v>428</v>
      </c>
      <c r="AF369" s="552"/>
      <c r="AG369" s="552"/>
      <c r="AH369" s="568">
        <f>AH336-AB336+AH359</f>
        <v>817</v>
      </c>
      <c r="AI369" s="552"/>
      <c r="AJ369" s="552"/>
    </row>
    <row r="370" spans="2:36" ht="14.1" x14ac:dyDescent="0.5">
      <c r="B370" s="618" t="str">
        <f>B360</f>
        <v>Loans</v>
      </c>
      <c r="C370" s="618"/>
      <c r="D370" s="618"/>
      <c r="E370" s="618"/>
      <c r="F370" s="936">
        <f>F345-C345+F360</f>
        <v>84.296000000000006</v>
      </c>
      <c r="G370" s="618"/>
      <c r="H370" s="618"/>
      <c r="I370" s="936">
        <f>I345-C345+I360</f>
        <v>189.05200000000002</v>
      </c>
      <c r="J370" s="618"/>
      <c r="K370" s="618"/>
      <c r="L370" s="618"/>
      <c r="M370" s="936">
        <f>M345-C345+M360</f>
        <v>312.45800000000003</v>
      </c>
      <c r="N370" s="618"/>
      <c r="O370" s="618"/>
      <c r="P370" s="936">
        <f>P345-D345+P360</f>
        <v>457.3</v>
      </c>
      <c r="Q370" s="618"/>
      <c r="R370" s="618"/>
      <c r="S370" s="936">
        <f>S345-P345+S360</f>
        <v>123</v>
      </c>
      <c r="T370" s="618"/>
      <c r="U370" s="618"/>
      <c r="V370" s="936">
        <f>V345-P345+V360</f>
        <v>258</v>
      </c>
      <c r="W370" s="618"/>
      <c r="X370" s="618"/>
      <c r="Y370" s="936">
        <f>Y345-P345+Y360</f>
        <v>383</v>
      </c>
      <c r="Z370" s="618"/>
      <c r="AA370" s="618"/>
      <c r="AB370" s="936">
        <f>AB345-P345+AB360</f>
        <v>581</v>
      </c>
      <c r="AC370" s="618"/>
      <c r="AD370" s="618"/>
      <c r="AE370" s="936">
        <f>AE345-AB345+AE360</f>
        <v>249</v>
      </c>
      <c r="AF370" s="618"/>
      <c r="AG370" s="618"/>
      <c r="AH370" s="936">
        <f>AH345-AB345+AH360</f>
        <v>447</v>
      </c>
      <c r="AI370" s="618"/>
      <c r="AJ370" s="618"/>
    </row>
    <row r="371" spans="2:36" ht="14.1" x14ac:dyDescent="0.5">
      <c r="B371" s="552" t="str">
        <f>B361</f>
        <v>Total</v>
      </c>
      <c r="C371" s="552"/>
      <c r="D371" s="552"/>
      <c r="E371" s="552"/>
      <c r="F371" s="568">
        <f>SUM(F369:F370)</f>
        <v>219.80399999999997</v>
      </c>
      <c r="G371" s="552"/>
      <c r="H371" s="552"/>
      <c r="I371" s="568">
        <f>SUM(I369:I370)</f>
        <v>452.41200000000003</v>
      </c>
      <c r="J371" s="552"/>
      <c r="K371" s="552"/>
      <c r="L371" s="552"/>
      <c r="M371" s="568">
        <f>SUM(M369:M370)</f>
        <v>751.59100000000012</v>
      </c>
      <c r="N371" s="552"/>
      <c r="O371" s="552"/>
      <c r="P371" s="568">
        <f>SUM(P369:P370)</f>
        <v>1209.2739999999999</v>
      </c>
      <c r="Q371" s="552"/>
      <c r="R371" s="552"/>
      <c r="S371" s="568">
        <f>SUM(S369:S370)</f>
        <v>423</v>
      </c>
      <c r="T371" s="552"/>
      <c r="U371" s="552"/>
      <c r="V371" s="568">
        <f>SUM(V369:V370)</f>
        <v>969</v>
      </c>
      <c r="W371" s="552"/>
      <c r="X371" s="552"/>
      <c r="Y371" s="568">
        <f>SUM(Y369:Y370)</f>
        <v>1409</v>
      </c>
      <c r="Z371" s="552"/>
      <c r="AA371" s="552"/>
      <c r="AB371" s="568">
        <f>SUM(AB369:AB370)</f>
        <v>2074</v>
      </c>
      <c r="AC371" s="552"/>
      <c r="AD371" s="552"/>
      <c r="AE371" s="568">
        <f>SUM(AE369:AE370)</f>
        <v>677</v>
      </c>
      <c r="AF371" s="552"/>
      <c r="AG371" s="552"/>
      <c r="AH371" s="568">
        <f>SUM(AH369:AH370)</f>
        <v>1264</v>
      </c>
      <c r="AI371" s="552"/>
      <c r="AJ371" s="552"/>
    </row>
    <row r="372" spans="2:36" ht="14.4" thickBot="1" x14ac:dyDescent="0.55000000000000004">
      <c r="B372" s="552"/>
      <c r="C372" s="552"/>
      <c r="D372" s="552"/>
      <c r="E372" s="552"/>
      <c r="F372" s="552"/>
      <c r="G372" s="552"/>
      <c r="H372" s="552"/>
      <c r="I372" s="552"/>
      <c r="J372" s="552"/>
      <c r="K372" s="552"/>
      <c r="L372" s="552"/>
      <c r="M372" s="552"/>
      <c r="N372" s="552"/>
      <c r="O372" s="552"/>
      <c r="P372" s="552"/>
      <c r="Q372" s="552"/>
      <c r="R372" s="552"/>
      <c r="S372" s="552"/>
      <c r="T372" s="552"/>
      <c r="U372" s="552"/>
      <c r="V372" s="552"/>
      <c r="W372" s="552"/>
      <c r="X372" s="552"/>
      <c r="Y372" s="552"/>
      <c r="Z372" s="552"/>
      <c r="AA372" s="552"/>
      <c r="AB372" s="552"/>
      <c r="AC372" s="552"/>
      <c r="AD372" s="552"/>
      <c r="AE372" s="552"/>
      <c r="AF372" s="552"/>
      <c r="AG372" s="552"/>
      <c r="AH372" s="552"/>
      <c r="AI372" s="552"/>
      <c r="AJ372" s="552"/>
    </row>
    <row r="373" spans="2:36" ht="14.1" x14ac:dyDescent="0.5">
      <c r="B373" s="937" t="s">
        <v>1180</v>
      </c>
      <c r="C373" s="1161"/>
      <c r="D373" s="1161"/>
      <c r="E373" s="1161"/>
      <c r="F373" s="1165" t="str">
        <f>F363</f>
        <v>Q1 22</v>
      </c>
      <c r="G373" s="1161"/>
      <c r="H373" s="1161"/>
      <c r="I373" s="1165" t="str">
        <f>I363</f>
        <v>Q2 22</v>
      </c>
      <c r="J373" s="1165"/>
      <c r="K373" s="1165"/>
      <c r="L373" s="1165"/>
      <c r="M373" s="1165" t="str">
        <f>M363</f>
        <v>Q3 22</v>
      </c>
      <c r="N373" s="1165"/>
      <c r="O373" s="1165"/>
      <c r="P373" s="1165" t="str">
        <f>P363</f>
        <v>Q4 22</v>
      </c>
      <c r="Q373" s="1165"/>
      <c r="R373" s="1165"/>
      <c r="S373" s="1165" t="str">
        <f>S363</f>
        <v>Q1 23</v>
      </c>
      <c r="T373" s="1161"/>
      <c r="U373" s="1161"/>
      <c r="V373" s="1165" t="str">
        <f>V363</f>
        <v>Q2 23</v>
      </c>
      <c r="W373" s="1165"/>
      <c r="X373" s="1165"/>
      <c r="Y373" s="1165" t="str">
        <f>Y363</f>
        <v>Q3 23</v>
      </c>
      <c r="Z373" s="1165"/>
      <c r="AA373" s="1165"/>
      <c r="AB373" s="1165" t="str">
        <f>AB363</f>
        <v>Q4 23</v>
      </c>
      <c r="AC373" s="1165"/>
      <c r="AD373" s="1165"/>
      <c r="AE373" s="1165" t="str">
        <f>AE363</f>
        <v>Q1 24</v>
      </c>
      <c r="AF373" s="1165"/>
      <c r="AG373" s="1165"/>
      <c r="AH373" s="1165" t="str">
        <f>AH363</f>
        <v>Q2 24</v>
      </c>
      <c r="AI373" s="1165"/>
      <c r="AJ373" s="1249"/>
    </row>
    <row r="374" spans="2:36" ht="14.1" x14ac:dyDescent="0.5">
      <c r="B374" s="1131" t="str">
        <f>B369</f>
        <v>Credit cards</v>
      </c>
      <c r="C374" s="552"/>
      <c r="D374" s="552"/>
      <c r="E374" s="552"/>
      <c r="F374" s="568">
        <f>F369</f>
        <v>135.50799999999998</v>
      </c>
      <c r="G374" s="552"/>
      <c r="H374" s="552"/>
      <c r="I374" s="568">
        <f>I369-F369</f>
        <v>127.85200000000003</v>
      </c>
      <c r="J374" s="552"/>
      <c r="K374" s="552"/>
      <c r="L374" s="552"/>
      <c r="M374" s="568">
        <f>M369-I369</f>
        <v>175.77300000000002</v>
      </c>
      <c r="N374" s="552"/>
      <c r="O374" s="552"/>
      <c r="P374" s="568">
        <f>P369-M369</f>
        <v>312.84099999999989</v>
      </c>
      <c r="Q374" s="552"/>
      <c r="R374" s="552"/>
      <c r="S374" s="568">
        <f>S369</f>
        <v>300</v>
      </c>
      <c r="T374" s="552"/>
      <c r="U374" s="552"/>
      <c r="V374" s="568">
        <f>V369-S369</f>
        <v>411</v>
      </c>
      <c r="W374" s="552"/>
      <c r="X374" s="552"/>
      <c r="Y374" s="568">
        <f>Y369-V369</f>
        <v>315</v>
      </c>
      <c r="Z374" s="568"/>
      <c r="AA374" s="568"/>
      <c r="AB374" s="568">
        <f>AB369-Y369</f>
        <v>467</v>
      </c>
      <c r="AC374" s="568"/>
      <c r="AD374" s="568"/>
      <c r="AE374" s="568">
        <f>AE369</f>
        <v>428</v>
      </c>
      <c r="AF374" s="568"/>
      <c r="AG374" s="568"/>
      <c r="AH374" s="568">
        <f>AH369-AE369</f>
        <v>389</v>
      </c>
      <c r="AI374" s="568"/>
      <c r="AJ374" s="1250"/>
    </row>
    <row r="375" spans="2:36" ht="14.1" x14ac:dyDescent="0.5">
      <c r="B375" s="1133" t="str">
        <f>B370</f>
        <v>Loans</v>
      </c>
      <c r="C375" s="618"/>
      <c r="D375" s="618"/>
      <c r="E375" s="618"/>
      <c r="F375" s="936">
        <f>F370</f>
        <v>84.296000000000006</v>
      </c>
      <c r="G375" s="618"/>
      <c r="H375" s="618"/>
      <c r="I375" s="936">
        <f>I370-F370</f>
        <v>104.75600000000001</v>
      </c>
      <c r="J375" s="618"/>
      <c r="K375" s="618"/>
      <c r="L375" s="618"/>
      <c r="M375" s="936">
        <f>M370-I370</f>
        <v>123.40600000000001</v>
      </c>
      <c r="N375" s="618"/>
      <c r="O375" s="618"/>
      <c r="P375" s="936">
        <f>P370-M370</f>
        <v>144.84199999999998</v>
      </c>
      <c r="Q375" s="618"/>
      <c r="R375" s="618"/>
      <c r="S375" s="936">
        <f>S370</f>
        <v>123</v>
      </c>
      <c r="T375" s="618"/>
      <c r="U375" s="618"/>
      <c r="V375" s="936">
        <f>V370-S370</f>
        <v>135</v>
      </c>
      <c r="W375" s="618"/>
      <c r="X375" s="618"/>
      <c r="Y375" s="936">
        <f>Y370-V370</f>
        <v>125</v>
      </c>
      <c r="Z375" s="936"/>
      <c r="AA375" s="936"/>
      <c r="AB375" s="936">
        <f>AB370-Y370</f>
        <v>198</v>
      </c>
      <c r="AC375" s="936"/>
      <c r="AD375" s="936"/>
      <c r="AE375" s="936">
        <f>AE370</f>
        <v>249</v>
      </c>
      <c r="AF375" s="936"/>
      <c r="AG375" s="936"/>
      <c r="AH375" s="936">
        <f>AH370-AE370</f>
        <v>198</v>
      </c>
      <c r="AI375" s="936"/>
      <c r="AJ375" s="1251"/>
    </row>
    <row r="376" spans="2:36" ht="14.4" thickBot="1" x14ac:dyDescent="0.55000000000000004">
      <c r="B376" s="1135" t="s">
        <v>353</v>
      </c>
      <c r="C376" s="1162"/>
      <c r="D376" s="1162"/>
      <c r="E376" s="1162"/>
      <c r="F376" s="1136">
        <f>SUM(F374:F375)</f>
        <v>219.80399999999997</v>
      </c>
      <c r="G376" s="1162"/>
      <c r="H376" s="1162"/>
      <c r="I376" s="1136">
        <f>SUM(I374:I375)</f>
        <v>232.60800000000006</v>
      </c>
      <c r="J376" s="1166"/>
      <c r="K376" s="1167"/>
      <c r="L376" s="1167"/>
      <c r="M376" s="1136">
        <f>SUM(M374:M375)</f>
        <v>299.17900000000003</v>
      </c>
      <c r="N376" s="1166"/>
      <c r="O376" s="1167"/>
      <c r="P376" s="1136">
        <f>SUM(P374:P375)</f>
        <v>457.68299999999988</v>
      </c>
      <c r="Q376" s="1166"/>
      <c r="R376" s="1167"/>
      <c r="S376" s="1136">
        <f>SUM(S374:S375)</f>
        <v>423</v>
      </c>
      <c r="T376" s="1136"/>
      <c r="U376" s="1162"/>
      <c r="V376" s="1136">
        <f>SUM(V374:V375)</f>
        <v>546</v>
      </c>
      <c r="W376" s="1136"/>
      <c r="X376" s="1167"/>
      <c r="Y376" s="1136">
        <f>SUM(Y374:Y375)</f>
        <v>440</v>
      </c>
      <c r="Z376" s="1136"/>
      <c r="AA376" s="1136"/>
      <c r="AB376" s="1136">
        <f>SUM(AB374:AB375)</f>
        <v>665</v>
      </c>
      <c r="AC376" s="1136"/>
      <c r="AD376" s="1136"/>
      <c r="AE376" s="1136">
        <f>SUM(AE374:AE375)</f>
        <v>677</v>
      </c>
      <c r="AF376" s="1136"/>
      <c r="AG376" s="1136"/>
      <c r="AH376" s="1136">
        <f>SUM(AH374:AH375)</f>
        <v>587</v>
      </c>
      <c r="AI376" s="1136"/>
      <c r="AJ376" s="1252"/>
    </row>
    <row r="377" spans="2:36" ht="14.4" thickBot="1" x14ac:dyDescent="0.55000000000000004">
      <c r="B377" s="552"/>
      <c r="C377" s="552"/>
      <c r="D377" s="552"/>
      <c r="E377" s="552"/>
      <c r="F377" s="568"/>
      <c r="G377" s="552"/>
      <c r="H377" s="552"/>
      <c r="I377" s="568"/>
      <c r="J377" s="567"/>
      <c r="K377" s="611"/>
      <c r="L377" s="611"/>
      <c r="M377" s="568"/>
      <c r="N377" s="567"/>
      <c r="O377" s="611"/>
      <c r="P377" s="568"/>
      <c r="Q377" s="567"/>
      <c r="R377" s="611"/>
      <c r="S377" s="568"/>
      <c r="T377" s="568"/>
      <c r="U377" s="552"/>
      <c r="V377" s="568"/>
      <c r="W377" s="568"/>
      <c r="X377" s="611"/>
      <c r="Y377" s="568"/>
      <c r="Z377" s="568"/>
      <c r="AA377" s="568"/>
      <c r="AB377" s="568"/>
      <c r="AC377" s="568"/>
      <c r="AD377" s="568"/>
      <c r="AE377" s="568"/>
      <c r="AF377" s="568"/>
      <c r="AG377" s="568"/>
      <c r="AH377" s="568"/>
      <c r="AI377" s="568"/>
      <c r="AJ377" s="568"/>
    </row>
    <row r="378" spans="2:36" ht="14.1" x14ac:dyDescent="0.5">
      <c r="B378" s="937" t="s">
        <v>1980</v>
      </c>
      <c r="C378" s="1161"/>
      <c r="D378" s="1161"/>
      <c r="E378" s="1161"/>
      <c r="F378" s="1172" t="str">
        <f>F363</f>
        <v>Q1 22</v>
      </c>
      <c r="G378" s="1161"/>
      <c r="H378" s="1161"/>
      <c r="I378" s="1172" t="str">
        <f>I363</f>
        <v>Q2 22</v>
      </c>
      <c r="J378" s="1173"/>
      <c r="K378" s="1168"/>
      <c r="L378" s="1168"/>
      <c r="M378" s="1172" t="str">
        <f>M363</f>
        <v>Q3 22</v>
      </c>
      <c r="N378" s="1173"/>
      <c r="O378" s="1168"/>
      <c r="P378" s="1172" t="str">
        <f>P363</f>
        <v>Q4 22</v>
      </c>
      <c r="Q378" s="1173"/>
      <c r="R378" s="1168"/>
      <c r="S378" s="1172" t="str">
        <f>S363</f>
        <v>Q1 23</v>
      </c>
      <c r="T378" s="1129"/>
      <c r="U378" s="1161"/>
      <c r="V378" s="1172" t="str">
        <f>V363</f>
        <v>Q2 23</v>
      </c>
      <c r="W378" s="1129"/>
      <c r="X378" s="1168"/>
      <c r="Y378" s="1172" t="str">
        <f>Y363</f>
        <v>Q3 23</v>
      </c>
      <c r="Z378" s="1172"/>
      <c r="AA378" s="1172"/>
      <c r="AB378" s="1172" t="str">
        <f>AB363</f>
        <v>Q4 23</v>
      </c>
      <c r="AC378" s="1172"/>
      <c r="AD378" s="1172"/>
      <c r="AE378" s="1172" t="str">
        <f>AE363</f>
        <v>Q1 24</v>
      </c>
      <c r="AF378" s="1172"/>
      <c r="AG378" s="1172"/>
      <c r="AH378" s="1172" t="str">
        <f>AH363</f>
        <v>Q2 24</v>
      </c>
      <c r="AI378" s="1172"/>
      <c r="AJ378" s="1253"/>
    </row>
    <row r="379" spans="2:36" ht="14.1" x14ac:dyDescent="0.5">
      <c r="B379" s="1131" t="str">
        <f>B374</f>
        <v>Credit cards</v>
      </c>
      <c r="C379" s="552"/>
      <c r="D379" s="552"/>
      <c r="E379" s="552"/>
      <c r="F379" s="611">
        <f>F374/F337</f>
        <v>1.9885510247477072E-2</v>
      </c>
      <c r="G379" s="552"/>
      <c r="H379" s="552"/>
      <c r="I379" s="611">
        <f>I374/I337</f>
        <v>1.7817065290265909E-2</v>
      </c>
      <c r="J379" s="567"/>
      <c r="K379" s="611"/>
      <c r="L379" s="611"/>
      <c r="M379" s="611">
        <f>M374/M337</f>
        <v>2.2499600628344742E-2</v>
      </c>
      <c r="N379" s="567"/>
      <c r="O379" s="611"/>
      <c r="P379" s="611">
        <f>P374/P337</f>
        <v>3.3696790176647985E-2</v>
      </c>
      <c r="Q379" s="567"/>
      <c r="R379" s="611"/>
      <c r="S379" s="611">
        <f>S374/S337</f>
        <v>2.8642352491884668E-2</v>
      </c>
      <c r="T379" s="568"/>
      <c r="U379" s="552"/>
      <c r="V379" s="611">
        <f>V374/V337</f>
        <v>3.407395125186536E-2</v>
      </c>
      <c r="W379" s="568"/>
      <c r="X379" s="611"/>
      <c r="Y379" s="611">
        <f>Y374/Y337</f>
        <v>2.5513303365326204E-2</v>
      </c>
      <c r="Z379" s="611"/>
      <c r="AA379" s="611"/>
      <c r="AB379" s="611">
        <f>AB374/AB337</f>
        <v>3.2184700206753965E-2</v>
      </c>
      <c r="AC379" s="611"/>
      <c r="AD379" s="611"/>
      <c r="AE379" s="611">
        <f>AE374/AE337</f>
        <v>2.8356201594042545E-2</v>
      </c>
      <c r="AF379" s="611"/>
      <c r="AG379" s="611"/>
      <c r="AH379" s="611">
        <f>AH374/AH337</f>
        <v>2.7126917712691771E-2</v>
      </c>
      <c r="AI379" s="611"/>
      <c r="AJ379" s="1254"/>
    </row>
    <row r="380" spans="2:36" ht="14.1" x14ac:dyDescent="0.5">
      <c r="B380" s="1133" t="str">
        <f>B375</f>
        <v>Loans</v>
      </c>
      <c r="C380" s="618"/>
      <c r="D380" s="618"/>
      <c r="E380" s="618"/>
      <c r="F380" s="612">
        <f>F375/F346</f>
        <v>4.1990535491905359E-2</v>
      </c>
      <c r="G380" s="618"/>
      <c r="H380" s="618"/>
      <c r="I380" s="612">
        <f>I375/I346</f>
        <v>5.3829983047738172E-2</v>
      </c>
      <c r="J380" s="608"/>
      <c r="K380" s="612"/>
      <c r="L380" s="612"/>
      <c r="M380" s="612">
        <f>M375/M346</f>
        <v>6.478906514554518E-2</v>
      </c>
      <c r="N380" s="608"/>
      <c r="O380" s="612"/>
      <c r="P380" s="612">
        <f>P375/P346</f>
        <v>7.3412062848454127E-2</v>
      </c>
      <c r="Q380" s="608"/>
      <c r="R380" s="612"/>
      <c r="S380" s="612">
        <f>S375/S346</f>
        <v>5.2654109589041098E-2</v>
      </c>
      <c r="T380" s="936"/>
      <c r="U380" s="618"/>
      <c r="V380" s="612">
        <f>V375/V346</f>
        <v>4.835243553008596E-2</v>
      </c>
      <c r="W380" s="936"/>
      <c r="X380" s="612"/>
      <c r="Y380" s="612">
        <f>Y375/Y346</f>
        <v>4.0440274890342152E-2</v>
      </c>
      <c r="Z380" s="612"/>
      <c r="AA380" s="612"/>
      <c r="AB380" s="612">
        <f>AB375/AB346</f>
        <v>5.3311793214862679E-2</v>
      </c>
      <c r="AC380" s="612"/>
      <c r="AD380" s="612"/>
      <c r="AE380" s="612">
        <f>AE375/AE346</f>
        <v>5.5592766242464835E-2</v>
      </c>
      <c r="AF380" s="612"/>
      <c r="AG380" s="612"/>
      <c r="AH380" s="612">
        <f>AH375/AH346</f>
        <v>4.2751199462630382E-2</v>
      </c>
      <c r="AI380" s="612"/>
      <c r="AJ380" s="1255"/>
    </row>
    <row r="381" spans="2:36" ht="14.4" thickBot="1" x14ac:dyDescent="0.55000000000000004">
      <c r="B381" s="1135" t="str">
        <f>B376</f>
        <v>Total</v>
      </c>
      <c r="C381" s="941"/>
      <c r="D381" s="941"/>
      <c r="E381" s="941"/>
      <c r="F381" s="1167">
        <f>F376/(F337+F347)</f>
        <v>3.2255768622047779E-2</v>
      </c>
      <c r="G381" s="1162"/>
      <c r="H381" s="1162"/>
      <c r="I381" s="1167">
        <f>I376/(I337+I347)</f>
        <v>3.2415542369600571E-2</v>
      </c>
      <c r="J381" s="1162"/>
      <c r="K381" s="1162"/>
      <c r="L381" s="1162"/>
      <c r="M381" s="1167">
        <f>M376/(M337+M347)</f>
        <v>3.8296029631328762E-2</v>
      </c>
      <c r="N381" s="1162"/>
      <c r="O381" s="1162"/>
      <c r="P381" s="1167">
        <f>P376/(P337+P347)</f>
        <v>4.9298039638087016E-2</v>
      </c>
      <c r="Q381" s="1162"/>
      <c r="R381" s="1162"/>
      <c r="S381" s="1167">
        <f>S376/(S337+S347)</f>
        <v>4.0385717013557379E-2</v>
      </c>
      <c r="T381" s="1162"/>
      <c r="U381" s="1162"/>
      <c r="V381" s="1167">
        <f>V376/(V337+V347)</f>
        <v>4.5266125020726244E-2</v>
      </c>
      <c r="W381" s="1162"/>
      <c r="X381" s="1162"/>
      <c r="Y381" s="1167">
        <f>Y376/(Y337+Y347)</f>
        <v>3.5637630097598509E-2</v>
      </c>
      <c r="Z381" s="1167"/>
      <c r="AA381" s="1167"/>
      <c r="AB381" s="1167">
        <f>AB376/(AB337+AB347)</f>
        <v>4.5830461750516888E-2</v>
      </c>
      <c r="AC381" s="1167"/>
      <c r="AD381" s="1167"/>
      <c r="AE381" s="1167">
        <f>AE376/(AE337+AE347)</f>
        <v>4.4853150652258887E-2</v>
      </c>
      <c r="AF381" s="1167"/>
      <c r="AG381" s="1167"/>
      <c r="AH381" s="1167">
        <f>AH376/(AH337+AH347)</f>
        <v>4.0934449093444909E-2</v>
      </c>
      <c r="AI381" s="1167"/>
      <c r="AJ381" s="1256"/>
    </row>
    <row r="382" spans="2:36" ht="14.1" x14ac:dyDescent="0.5">
      <c r="B382" s="552"/>
      <c r="C382" s="552"/>
      <c r="D382" s="552"/>
      <c r="E382" s="552"/>
      <c r="F382" s="552"/>
      <c r="G382" s="552"/>
      <c r="H382" s="552"/>
      <c r="I382" s="552"/>
      <c r="J382" s="552"/>
      <c r="K382" s="552"/>
      <c r="L382" s="552"/>
      <c r="M382" s="552"/>
      <c r="N382" s="552"/>
      <c r="O382" s="552"/>
      <c r="P382" s="552"/>
      <c r="Q382" s="552"/>
      <c r="R382" s="552"/>
      <c r="S382" s="552"/>
      <c r="T382" s="552"/>
      <c r="U382" s="552"/>
      <c r="V382" s="552"/>
      <c r="W382" s="552"/>
      <c r="X382" s="552"/>
      <c r="Y382" s="552"/>
      <c r="Z382" s="552"/>
      <c r="AA382" s="552"/>
    </row>
    <row r="383" spans="2:36" ht="14.1" x14ac:dyDescent="0.5">
      <c r="B383" s="552"/>
      <c r="C383" s="552"/>
      <c r="D383" s="552"/>
      <c r="E383" s="552"/>
      <c r="F383" s="552"/>
      <c r="G383" s="552"/>
      <c r="H383" s="552"/>
      <c r="I383" s="552"/>
      <c r="J383" s="552"/>
      <c r="K383" s="552"/>
      <c r="L383" s="552"/>
      <c r="M383" s="552"/>
      <c r="N383" s="552"/>
      <c r="O383" s="552"/>
      <c r="P383" s="552"/>
      <c r="Q383" s="552"/>
      <c r="R383" s="552"/>
      <c r="S383" s="552"/>
      <c r="T383" s="552"/>
      <c r="U383" s="552"/>
      <c r="V383" s="552"/>
      <c r="W383" s="552"/>
      <c r="X383" s="552"/>
      <c r="Y383" s="552"/>
      <c r="Z383" s="552"/>
      <c r="AA383" s="552"/>
    </row>
    <row r="384" spans="2:36" ht="14.1" x14ac:dyDescent="0.5">
      <c r="B384" s="552"/>
      <c r="C384" s="552"/>
      <c r="D384" s="552"/>
      <c r="E384" s="552"/>
      <c r="F384" s="552"/>
      <c r="G384" s="552"/>
      <c r="H384" s="552"/>
      <c r="I384" s="552"/>
      <c r="J384" s="552"/>
      <c r="K384" s="552"/>
      <c r="L384" s="552"/>
      <c r="M384" s="552"/>
      <c r="N384" s="552"/>
      <c r="O384" s="552"/>
      <c r="P384" s="552"/>
      <c r="Q384" s="552"/>
      <c r="R384" s="552"/>
      <c r="S384" s="552"/>
      <c r="T384" s="552"/>
      <c r="U384" s="552"/>
      <c r="V384" s="552"/>
      <c r="W384" s="552"/>
      <c r="X384" s="552"/>
      <c r="Y384" s="552"/>
      <c r="Z384" s="552"/>
      <c r="AA384" s="618"/>
    </row>
    <row r="385" spans="2:27" ht="14.1" x14ac:dyDescent="0.5">
      <c r="B385" s="552"/>
      <c r="C385" s="552"/>
      <c r="D385" s="552"/>
      <c r="E385" s="552"/>
      <c r="F385" s="552"/>
      <c r="G385" s="552"/>
      <c r="H385" s="552"/>
      <c r="I385" s="552"/>
      <c r="J385" s="552"/>
      <c r="K385" s="552"/>
      <c r="L385" s="552"/>
      <c r="M385" s="552"/>
      <c r="N385" s="552"/>
      <c r="O385" s="552"/>
      <c r="P385" s="552"/>
      <c r="Q385" s="552"/>
      <c r="R385" s="552"/>
      <c r="S385" s="552"/>
      <c r="T385" s="552"/>
      <c r="U385" s="552"/>
      <c r="V385" s="552"/>
      <c r="W385" s="552"/>
      <c r="X385" s="552"/>
      <c r="Y385" s="552"/>
      <c r="Z385" s="552"/>
      <c r="AA385" s="552"/>
    </row>
    <row r="386" spans="2:27" ht="14.1" x14ac:dyDescent="0.5">
      <c r="B386" s="552"/>
      <c r="C386" s="552"/>
      <c r="D386" s="552"/>
      <c r="E386" s="552"/>
      <c r="F386" s="552"/>
      <c r="G386" s="552"/>
      <c r="H386" s="552"/>
      <c r="I386" s="552"/>
      <c r="J386" s="552"/>
      <c r="K386" s="552"/>
      <c r="L386" s="552"/>
      <c r="M386" s="552"/>
      <c r="N386" s="552"/>
      <c r="O386" s="552"/>
      <c r="P386" s="552"/>
      <c r="Q386" s="552"/>
      <c r="R386" s="552"/>
      <c r="S386" s="552"/>
      <c r="T386" s="552"/>
      <c r="U386" s="552"/>
      <c r="V386" s="552"/>
      <c r="W386" s="552"/>
      <c r="X386" s="552"/>
      <c r="Y386" s="552"/>
      <c r="Z386" s="552"/>
    </row>
    <row r="387" spans="2:27" ht="15.6" x14ac:dyDescent="0.6">
      <c r="B387" t="s">
        <v>1181</v>
      </c>
      <c r="C387" s="86"/>
      <c r="D387"/>
      <c r="E387"/>
      <c r="F387"/>
      <c r="G387" s="86"/>
      <c r="H387"/>
      <c r="I387"/>
      <c r="J387"/>
      <c r="K387"/>
      <c r="L387"/>
      <c r="M387"/>
      <c r="N387" s="86"/>
      <c r="O387"/>
      <c r="P387"/>
      <c r="Q387"/>
      <c r="R387"/>
      <c r="S387"/>
    </row>
    <row r="388" spans="2:27" ht="15.6" x14ac:dyDescent="0.6">
      <c r="B388">
        <f>B383</f>
        <v>0</v>
      </c>
      <c r="C388" s="86"/>
      <c r="D388"/>
      <c r="E388"/>
      <c r="F388"/>
      <c r="G388" s="86"/>
      <c r="H388"/>
      <c r="I388"/>
      <c r="J388"/>
      <c r="K388"/>
      <c r="L388"/>
      <c r="M388"/>
      <c r="N388" s="86"/>
      <c r="O388"/>
      <c r="P388"/>
      <c r="Q388"/>
      <c r="R388"/>
      <c r="S388"/>
    </row>
    <row r="389" spans="2:27" ht="15.6" x14ac:dyDescent="0.6">
      <c r="B389">
        <f>B384</f>
        <v>0</v>
      </c>
      <c r="C389" s="86"/>
      <c r="D389"/>
      <c r="E389"/>
      <c r="F389"/>
      <c r="G389" s="86"/>
      <c r="H389"/>
      <c r="I389"/>
      <c r="J389"/>
      <c r="K389"/>
      <c r="L389"/>
      <c r="M389"/>
      <c r="N389" s="86"/>
      <c r="O389"/>
      <c r="P389"/>
      <c r="Q389"/>
      <c r="R389"/>
      <c r="S389"/>
    </row>
    <row r="390" spans="2:27" ht="15.6" x14ac:dyDescent="0.6">
      <c r="B390">
        <f>B385</f>
        <v>0</v>
      </c>
      <c r="C390" s="86"/>
      <c r="D390"/>
      <c r="E390"/>
      <c r="F390"/>
      <c r="G390" s="86"/>
      <c r="H390"/>
      <c r="I390"/>
      <c r="J390"/>
      <c r="K390"/>
      <c r="L390"/>
      <c r="M390"/>
      <c r="N390" s="86"/>
      <c r="O390"/>
      <c r="P390"/>
      <c r="Q390"/>
      <c r="R390"/>
      <c r="S390"/>
    </row>
    <row r="391" spans="2:27" ht="15.6" x14ac:dyDescent="0.6">
      <c r="B391"/>
      <c r="C391" s="86"/>
      <c r="D391"/>
      <c r="E391"/>
      <c r="F391"/>
      <c r="G391" s="86"/>
      <c r="H391"/>
      <c r="I391"/>
      <c r="J391"/>
      <c r="K391"/>
      <c r="L391"/>
      <c r="M391"/>
      <c r="N391" s="86"/>
      <c r="O391"/>
      <c r="P391"/>
      <c r="Q391"/>
      <c r="R391"/>
      <c r="S391"/>
    </row>
    <row r="392" spans="2:27" ht="15.6" x14ac:dyDescent="0.6">
      <c r="B392"/>
      <c r="C392" s="86"/>
      <c r="D392"/>
      <c r="E392"/>
      <c r="F392"/>
      <c r="G392" s="86"/>
      <c r="H392"/>
      <c r="I392"/>
      <c r="J392"/>
      <c r="K392"/>
      <c r="L392"/>
      <c r="M392"/>
      <c r="N392" s="86"/>
      <c r="O392"/>
      <c r="P392"/>
      <c r="Q392"/>
      <c r="R392"/>
      <c r="S392"/>
    </row>
    <row r="393" spans="2:27" ht="14.1" x14ac:dyDescent="0.5">
      <c r="B393" s="574" t="s">
        <v>1463</v>
      </c>
      <c r="C393" s="579" t="str">
        <f>Quarts!H2</f>
        <v>Q1 21</v>
      </c>
      <c r="D393" s="579" t="str">
        <f>Quarts!I2</f>
        <v>Q2 21</v>
      </c>
      <c r="E393" s="579" t="str">
        <f>Quarts!J2</f>
        <v>Q3 21</v>
      </c>
      <c r="F393" s="579" t="str">
        <f>Quarts!K2</f>
        <v>Q4 21</v>
      </c>
      <c r="G393" s="579" t="str">
        <f>Quarts!M2</f>
        <v>Q1 22</v>
      </c>
      <c r="H393" s="579" t="str">
        <f>Quarts!N2</f>
        <v>Q2 22</v>
      </c>
      <c r="I393" s="579" t="str">
        <f>Quarts!O2</f>
        <v>Q3 22</v>
      </c>
      <c r="J393" s="579" t="str">
        <f>Quarts!P2</f>
        <v>Q4 22</v>
      </c>
      <c r="K393" s="579" t="str">
        <f>Quarts!R2</f>
        <v>Q1 23</v>
      </c>
      <c r="L393" s="579"/>
      <c r="M393" s="579" t="str">
        <f>Quarts!S2</f>
        <v>Q2 23</v>
      </c>
    </row>
    <row r="394" spans="2:27" ht="14.1" x14ac:dyDescent="0.5">
      <c r="B394" s="1078" t="str">
        <f>Quarts!B285</f>
        <v>Credit cards</v>
      </c>
      <c r="C394" s="1079">
        <f>Quarts!H285</f>
        <v>16872.931499999999</v>
      </c>
      <c r="D394" s="1079">
        <f>Quarts!I285</f>
        <v>20310.7552</v>
      </c>
      <c r="E394" s="1079">
        <f>Quarts!J285</f>
        <v>23774.587199999998</v>
      </c>
      <c r="F394" s="1079">
        <f>Quarts!K285</f>
        <v>28833.4598682</v>
      </c>
      <c r="G394" s="1079">
        <f>Quarts!M285</f>
        <v>32300.29866</v>
      </c>
      <c r="H394" s="1079">
        <f>Quarts!N285</f>
        <v>37744.797419999995</v>
      </c>
      <c r="I394" s="1079">
        <f>Quarts!O285</f>
        <v>42307.359015999995</v>
      </c>
      <c r="J394" s="1079">
        <f>Quarts!P285</f>
        <v>49019.520000000004</v>
      </c>
      <c r="K394" s="1079">
        <f>Quarts!R285</f>
        <v>52998.439999999995</v>
      </c>
      <c r="L394" s="1079"/>
      <c r="M394" s="1079">
        <f>Quarts!S285</f>
        <v>57776.98</v>
      </c>
    </row>
    <row r="395" spans="2:27" ht="14.1" x14ac:dyDescent="0.5">
      <c r="B395" s="618" t="str">
        <f>Quarts!B286</f>
        <v>Personal loans</v>
      </c>
      <c r="C395" s="936">
        <f>Quarts!H286</f>
        <v>1712.6448</v>
      </c>
      <c r="D395" s="936">
        <f>Quarts!I286</f>
        <v>2942.0032000000001</v>
      </c>
      <c r="E395" s="936">
        <f>Quarts!J286</f>
        <v>4914.9386999999997</v>
      </c>
      <c r="F395" s="936">
        <f>Quarts!K286</f>
        <v>7763.4428268000001</v>
      </c>
      <c r="G395" s="936">
        <f>Quarts!M286</f>
        <v>9515.5500000000011</v>
      </c>
      <c r="H395" s="936">
        <f>Quarts!N286</f>
        <v>10236.23878</v>
      </c>
      <c r="I395" s="936">
        <f>Quarts!O286</f>
        <v>10315.092392500001</v>
      </c>
      <c r="J395" s="936">
        <f>Quarts!P286</f>
        <v>10417.44</v>
      </c>
      <c r="K395" s="936">
        <f>Quarts!R286</f>
        <v>11820.16</v>
      </c>
      <c r="L395" s="936"/>
      <c r="M395" s="936">
        <f>Quarts!S286</f>
        <v>13373.68</v>
      </c>
    </row>
    <row r="396" spans="2:27" ht="14.1" x14ac:dyDescent="0.5">
      <c r="B396" s="1078" t="s">
        <v>353</v>
      </c>
      <c r="C396" s="1079">
        <f t="shared" ref="C396:M396" si="47">C394+C395</f>
        <v>18585.576300000001</v>
      </c>
      <c r="D396" s="1079">
        <f t="shared" si="47"/>
        <v>23252.758399999999</v>
      </c>
      <c r="E396" s="1079">
        <f t="shared" si="47"/>
        <v>28689.525899999997</v>
      </c>
      <c r="F396" s="1079">
        <f t="shared" si="47"/>
        <v>36596.902694999997</v>
      </c>
      <c r="G396" s="1079">
        <f t="shared" si="47"/>
        <v>41815.848660000003</v>
      </c>
      <c r="H396" s="1079">
        <f t="shared" si="47"/>
        <v>47981.036199999995</v>
      </c>
      <c r="I396" s="1079">
        <f t="shared" si="47"/>
        <v>52622.451408499997</v>
      </c>
      <c r="J396" s="1079">
        <f t="shared" si="47"/>
        <v>59436.960000000006</v>
      </c>
      <c r="K396" s="1079">
        <f t="shared" si="47"/>
        <v>64818.599999999991</v>
      </c>
      <c r="L396" s="1079"/>
      <c r="M396" s="1079">
        <f t="shared" si="47"/>
        <v>71150.66</v>
      </c>
    </row>
    <row r="397" spans="2:27" ht="14.1" x14ac:dyDescent="0.5">
      <c r="B397" s="567"/>
      <c r="C397" s="568"/>
      <c r="D397" s="568"/>
      <c r="E397" s="568"/>
      <c r="F397" s="568"/>
      <c r="G397" s="568"/>
      <c r="H397" s="568"/>
      <c r="I397" s="568"/>
      <c r="J397" s="568"/>
      <c r="K397" s="568"/>
      <c r="L397" s="568"/>
      <c r="M397" s="568"/>
    </row>
    <row r="398" spans="2:27" ht="14.1" x14ac:dyDescent="0.5">
      <c r="B398" s="1078" t="s">
        <v>1464</v>
      </c>
      <c r="C398" s="1079"/>
      <c r="D398" s="1079">
        <f>Quarts!I222</f>
        <v>4969.5999999999995</v>
      </c>
      <c r="E398" s="1079">
        <f>Quarts!J222</f>
        <v>7620.0599999999995</v>
      </c>
      <c r="F398" s="1079">
        <f>Quarts!K222</f>
        <v>11151.6</v>
      </c>
      <c r="G398" s="1079">
        <f>Quarts!M222</f>
        <v>14694</v>
      </c>
      <c r="H398" s="1079">
        <f>Quarts!N222</f>
        <v>16832</v>
      </c>
      <c r="I398" s="1079">
        <f>Quarts!O222</f>
        <v>18954.25</v>
      </c>
      <c r="J398" s="1079">
        <f>Quarts!P222</f>
        <v>21120</v>
      </c>
      <c r="K398" s="1079">
        <f>Quarts!R222</f>
        <v>26311.999999999996</v>
      </c>
      <c r="L398" s="1079"/>
      <c r="M398" s="1079">
        <f>Quarts!S222</f>
        <v>30177</v>
      </c>
    </row>
    <row r="399" spans="2:27" ht="14.1" x14ac:dyDescent="0.5">
      <c r="B399" s="552" t="s">
        <v>1465</v>
      </c>
      <c r="C399" s="568"/>
      <c r="D399" s="568">
        <f t="shared" ref="D399:M399" si="48">D398-D395</f>
        <v>2027.5967999999993</v>
      </c>
      <c r="E399" s="568">
        <f t="shared" si="48"/>
        <v>2705.1212999999998</v>
      </c>
      <c r="F399" s="568">
        <f t="shared" si="48"/>
        <v>3388.1571732000002</v>
      </c>
      <c r="G399" s="568">
        <f t="shared" si="48"/>
        <v>5178.4499999999989</v>
      </c>
      <c r="H399" s="568">
        <f t="shared" si="48"/>
        <v>6595.7612200000003</v>
      </c>
      <c r="I399" s="568">
        <f t="shared" si="48"/>
        <v>8639.1576074999994</v>
      </c>
      <c r="J399" s="568">
        <f t="shared" si="48"/>
        <v>10702.56</v>
      </c>
      <c r="K399" s="568">
        <f t="shared" si="48"/>
        <v>14491.839999999997</v>
      </c>
      <c r="L399" s="568"/>
      <c r="M399" s="568">
        <f t="shared" si="48"/>
        <v>16803.32</v>
      </c>
    </row>
    <row r="400" spans="2:27" ht="14.1" x14ac:dyDescent="0.5">
      <c r="B400" s="1078" t="s">
        <v>1466</v>
      </c>
      <c r="C400" s="1078"/>
      <c r="D400" s="1079">
        <f t="shared" ref="D400:M400" si="49">D394-D399</f>
        <v>18283.1584</v>
      </c>
      <c r="E400" s="1079">
        <f t="shared" si="49"/>
        <v>21069.465899999999</v>
      </c>
      <c r="F400" s="1079">
        <f t="shared" si="49"/>
        <v>25445.302694999998</v>
      </c>
      <c r="G400" s="1079">
        <f t="shared" si="49"/>
        <v>27121.848660000003</v>
      </c>
      <c r="H400" s="1079">
        <f t="shared" si="49"/>
        <v>31149.036199999995</v>
      </c>
      <c r="I400" s="1079">
        <f t="shared" si="49"/>
        <v>33668.201408499997</v>
      </c>
      <c r="J400" s="1079">
        <f t="shared" si="49"/>
        <v>38316.960000000006</v>
      </c>
      <c r="K400" s="1079">
        <f t="shared" si="49"/>
        <v>38506.6</v>
      </c>
      <c r="L400" s="1079"/>
      <c r="M400" s="1079">
        <f t="shared" si="49"/>
        <v>40973.660000000003</v>
      </c>
    </row>
    <row r="401" spans="2:13" ht="14.1" x14ac:dyDescent="0.5">
      <c r="B401" s="618" t="s">
        <v>1467</v>
      </c>
      <c r="C401" s="618"/>
      <c r="D401" s="726">
        <f t="shared" ref="D401:M401" si="50">D399/D400</f>
        <v>0.11089970100570803</v>
      </c>
      <c r="E401" s="726">
        <f t="shared" si="50"/>
        <v>0.12839059674502712</v>
      </c>
      <c r="F401" s="726">
        <f t="shared" si="50"/>
        <v>0.1331545241890863</v>
      </c>
      <c r="G401" s="726">
        <f t="shared" si="50"/>
        <v>0.1909327813497208</v>
      </c>
      <c r="H401" s="726">
        <f t="shared" si="50"/>
        <v>0.21174848485360204</v>
      </c>
      <c r="I401" s="726">
        <f t="shared" si="50"/>
        <v>0.25659694447826742</v>
      </c>
      <c r="J401" s="726">
        <f t="shared" si="50"/>
        <v>0.27931652197877904</v>
      </c>
      <c r="K401" s="726">
        <f t="shared" si="50"/>
        <v>0.37634691195795</v>
      </c>
      <c r="L401" s="726"/>
      <c r="M401" s="726">
        <f t="shared" si="50"/>
        <v>0.41010053776011218</v>
      </c>
    </row>
    <row r="402" spans="2:13" ht="14.1" x14ac:dyDescent="0.5">
      <c r="B402" s="552"/>
      <c r="C402" s="552"/>
      <c r="D402" s="552"/>
      <c r="E402" s="552"/>
      <c r="F402" s="552"/>
      <c r="G402" s="567"/>
      <c r="H402" s="567"/>
      <c r="I402" s="567"/>
      <c r="J402" s="567"/>
      <c r="K402" s="567"/>
      <c r="L402" s="567"/>
      <c r="M402" s="567"/>
    </row>
    <row r="403" spans="2:13" ht="14.1" x14ac:dyDescent="0.5">
      <c r="B403" s="574" t="s">
        <v>228</v>
      </c>
      <c r="C403" s="579" t="str">
        <f t="shared" ref="C403:M403" si="51">C393</f>
        <v>Q1 21</v>
      </c>
      <c r="D403" s="579" t="str">
        <f t="shared" si="51"/>
        <v>Q2 21</v>
      </c>
      <c r="E403" s="579" t="str">
        <f t="shared" si="51"/>
        <v>Q3 21</v>
      </c>
      <c r="F403" s="579" t="str">
        <f t="shared" si="51"/>
        <v>Q4 21</v>
      </c>
      <c r="G403" s="579" t="str">
        <f t="shared" si="51"/>
        <v>Q1 22</v>
      </c>
      <c r="H403" s="579" t="str">
        <f t="shared" si="51"/>
        <v>Q2 22</v>
      </c>
      <c r="I403" s="579" t="str">
        <f t="shared" si="51"/>
        <v>Q3 22</v>
      </c>
      <c r="J403" s="579" t="str">
        <f t="shared" si="51"/>
        <v>Q4 22</v>
      </c>
      <c r="K403" s="579" t="str">
        <f t="shared" si="51"/>
        <v>Q1 23</v>
      </c>
      <c r="L403" s="579"/>
      <c r="M403" s="579" t="str">
        <f t="shared" si="51"/>
        <v>Q2 23</v>
      </c>
    </row>
    <row r="404" spans="2:13" ht="14.1" x14ac:dyDescent="0.5">
      <c r="B404" s="1078" t="s">
        <v>1481</v>
      </c>
      <c r="C404" s="1080">
        <v>211</v>
      </c>
      <c r="D404" s="1080">
        <v>274</v>
      </c>
      <c r="E404" s="1080">
        <v>374.6</v>
      </c>
      <c r="F404" s="1080">
        <v>422.8</v>
      </c>
      <c r="G404" s="1080">
        <v>542.29999999999995</v>
      </c>
      <c r="H404" s="1080">
        <v>711.8</v>
      </c>
      <c r="I404" s="1080">
        <v>777.8</v>
      </c>
      <c r="J404" s="1080">
        <v>957.6</v>
      </c>
      <c r="K404" s="1080">
        <v>1086.5</v>
      </c>
      <c r="L404" s="1080"/>
      <c r="M404" s="1080"/>
    </row>
    <row r="405" spans="2:13" ht="14.1" x14ac:dyDescent="0.5">
      <c r="B405" s="552" t="s">
        <v>1482</v>
      </c>
      <c r="C405" s="567">
        <v>143.69999999999999</v>
      </c>
      <c r="D405" s="567">
        <v>171.8</v>
      </c>
      <c r="E405" s="567">
        <v>245.7</v>
      </c>
      <c r="F405" s="567">
        <v>289.89999999999998</v>
      </c>
      <c r="G405" s="567">
        <v>325.7</v>
      </c>
      <c r="H405" s="567">
        <v>384.6</v>
      </c>
      <c r="I405" s="567">
        <v>418.2</v>
      </c>
      <c r="J405" s="567">
        <v>392.8</v>
      </c>
      <c r="K405" s="567">
        <v>401.4</v>
      </c>
      <c r="L405" s="567"/>
      <c r="M405" s="567"/>
    </row>
    <row r="406" spans="2:13" ht="14.1" x14ac:dyDescent="0.5">
      <c r="B406" s="1078" t="s">
        <v>1484</v>
      </c>
      <c r="C406" s="1081">
        <f t="shared" ref="C406:M406" si="52">C405/C404</f>
        <v>0.681042654028436</v>
      </c>
      <c r="D406" s="1081">
        <f t="shared" si="52"/>
        <v>0.62700729927007304</v>
      </c>
      <c r="E406" s="1081">
        <f t="shared" si="52"/>
        <v>0.65589962626801912</v>
      </c>
      <c r="F406" s="1081">
        <f t="shared" si="52"/>
        <v>0.68566698202459786</v>
      </c>
      <c r="G406" s="1081">
        <f t="shared" si="52"/>
        <v>0.60059007929190489</v>
      </c>
      <c r="H406" s="1081">
        <f t="shared" si="52"/>
        <v>0.54032031469513919</v>
      </c>
      <c r="I406" s="1081">
        <f t="shared" si="52"/>
        <v>0.5376703522756493</v>
      </c>
      <c r="J406" s="1081">
        <f t="shared" si="52"/>
        <v>0.41019214703425227</v>
      </c>
      <c r="K406" s="1081">
        <f t="shared" si="52"/>
        <v>0.36944316612977446</v>
      </c>
      <c r="L406" s="1081"/>
      <c r="M406" s="1081" t="e">
        <f t="shared" si="52"/>
        <v>#DIV/0!</v>
      </c>
    </row>
    <row r="407" spans="2:13" ht="14.1" x14ac:dyDescent="0.5">
      <c r="B407" s="552" t="s">
        <v>24</v>
      </c>
      <c r="C407" s="552"/>
      <c r="D407" s="552"/>
      <c r="E407" s="552"/>
      <c r="F407" s="552"/>
      <c r="G407" s="567">
        <v>13</v>
      </c>
      <c r="H407" s="567">
        <v>48</v>
      </c>
      <c r="I407" s="567">
        <v>64</v>
      </c>
      <c r="J407" s="567">
        <v>158</v>
      </c>
      <c r="K407" s="567">
        <v>171</v>
      </c>
      <c r="L407" s="567"/>
      <c r="M407" s="567"/>
    </row>
    <row r="408" spans="2:13" ht="14.1" x14ac:dyDescent="0.5">
      <c r="B408" s="1082" t="s">
        <v>1299</v>
      </c>
      <c r="C408" s="1083" t="str">
        <f t="shared" ref="C408:M408" si="53">C403</f>
        <v>Q1 21</v>
      </c>
      <c r="D408" s="1083" t="str">
        <f t="shared" si="53"/>
        <v>Q2 21</v>
      </c>
      <c r="E408" s="1083" t="str">
        <f t="shared" si="53"/>
        <v>Q3 21</v>
      </c>
      <c r="F408" s="1083" t="str">
        <f t="shared" si="53"/>
        <v>Q4 21</v>
      </c>
      <c r="G408" s="1083" t="str">
        <f t="shared" si="53"/>
        <v>Q1 22</v>
      </c>
      <c r="H408" s="1083" t="str">
        <f t="shared" si="53"/>
        <v>Q2 22</v>
      </c>
      <c r="I408" s="1083" t="str">
        <f t="shared" si="53"/>
        <v>Q3 22</v>
      </c>
      <c r="J408" s="1083" t="str">
        <f t="shared" si="53"/>
        <v>Q4 22</v>
      </c>
      <c r="K408" s="1083" t="str">
        <f t="shared" si="53"/>
        <v>Q1 23</v>
      </c>
      <c r="L408" s="1083"/>
      <c r="M408" s="1083" t="str">
        <f t="shared" si="53"/>
        <v>Q2 23</v>
      </c>
    </row>
    <row r="409" spans="2:13" ht="14.1" x14ac:dyDescent="0.5">
      <c r="B409" s="552" t="str">
        <f>B404</f>
        <v>NII + F&amp;C</v>
      </c>
      <c r="C409" s="567">
        <f>Quarts!H63+Quarts!H14</f>
        <v>213.3</v>
      </c>
      <c r="D409" s="567">
        <f>Quarts!I63+Quarts!I14</f>
        <v>278.89999999999998</v>
      </c>
      <c r="E409" s="567">
        <f>Quarts!J63+Quarts!J14</f>
        <v>379.5</v>
      </c>
      <c r="F409" s="567">
        <f>Quarts!K63+Quarts!K14</f>
        <v>458.94000000000005</v>
      </c>
      <c r="G409" s="567">
        <f>Quarts!M63+Quarts!M14</f>
        <v>604.26400000000001</v>
      </c>
      <c r="H409" s="567">
        <f>Quarts!N63+Quarts!N14</f>
        <v>750.06100000000004</v>
      </c>
      <c r="I409" s="567">
        <f>Quarts!O63+Quarts!O14</f>
        <v>847</v>
      </c>
      <c r="J409" s="567">
        <f>Quarts!P63+Quarts!P14</f>
        <v>1043.6749999999997</v>
      </c>
      <c r="K409" s="567">
        <f>Quarts!R63+Quarts!R14</f>
        <v>1178.3330000000001</v>
      </c>
      <c r="L409" s="567"/>
      <c r="M409" s="567">
        <f>Quarts!S63+Quarts!S14</f>
        <v>1415.2000000000003</v>
      </c>
    </row>
    <row r="410" spans="2:13" ht="14.1" x14ac:dyDescent="0.5">
      <c r="B410" s="1078" t="str">
        <f>B405</f>
        <v>Costs (inc SBC)</v>
      </c>
      <c r="C410" s="1080">
        <f>-Quarts!H83-Quarts!H36</f>
        <v>195.4</v>
      </c>
      <c r="D410" s="1080">
        <f>-Quarts!I83-Quarts!I36</f>
        <v>201.9</v>
      </c>
      <c r="E410" s="1080">
        <f>-Quarts!J83-Quarts!J36</f>
        <v>274.3</v>
      </c>
      <c r="F410" s="1080">
        <f>-Quarts!K83-Quarts!K36</f>
        <v>347.81699999999989</v>
      </c>
      <c r="G410" s="1080">
        <f>-Quarts!M83-Quarts!M36</f>
        <v>396.19299999999998</v>
      </c>
      <c r="H410" s="1080">
        <f>-Quarts!N83-Quarts!N36</f>
        <v>436.18099999999998</v>
      </c>
      <c r="I410" s="1080">
        <f>-Quarts!O83-Quarts!O36</f>
        <v>466.40000000000003</v>
      </c>
      <c r="J410" s="1080">
        <f>-Quarts!P83-Quarts!P36-355</f>
        <v>494.22599999999989</v>
      </c>
      <c r="K410" s="1080">
        <f>-Quarts!R83-Quarts!R36</f>
        <v>459</v>
      </c>
      <c r="L410" s="1080"/>
      <c r="M410" s="1080">
        <f>-Quarts!S83-Quarts!S36</f>
        <v>500.8</v>
      </c>
    </row>
    <row r="411" spans="2:13" ht="14.1" x14ac:dyDescent="0.5">
      <c r="B411" s="552" t="s">
        <v>1484</v>
      </c>
      <c r="C411" s="611">
        <f t="shared" ref="C411:M411" si="54">C410/C409</f>
        <v>0.91608063759962488</v>
      </c>
      <c r="D411" s="611">
        <f t="shared" si="54"/>
        <v>0.72391538185729665</v>
      </c>
      <c r="E411" s="611">
        <f t="shared" si="54"/>
        <v>0.72279314888010548</v>
      </c>
      <c r="F411" s="611">
        <f t="shared" si="54"/>
        <v>0.75787030984442383</v>
      </c>
      <c r="G411" s="611">
        <f t="shared" si="54"/>
        <v>0.65566209471356884</v>
      </c>
      <c r="H411" s="611">
        <f t="shared" si="54"/>
        <v>0.58152736910731251</v>
      </c>
      <c r="I411" s="611">
        <f t="shared" si="54"/>
        <v>0.55064935064935072</v>
      </c>
      <c r="J411" s="611">
        <f t="shared" si="54"/>
        <v>0.47354396723117831</v>
      </c>
      <c r="K411" s="611">
        <f t="shared" si="54"/>
        <v>0.38953334923149907</v>
      </c>
      <c r="L411" s="611"/>
      <c r="M411" s="611">
        <f t="shared" si="54"/>
        <v>0.35387224420576591</v>
      </c>
    </row>
    <row r="412" spans="2:13" ht="14.1" x14ac:dyDescent="0.5">
      <c r="B412" s="1078" t="s">
        <v>24</v>
      </c>
      <c r="C412" s="1078"/>
      <c r="D412" s="1078"/>
      <c r="E412" s="1078"/>
      <c r="F412" s="1078"/>
      <c r="G412" s="1080">
        <f>Quarts!M104</f>
        <v>10.1</v>
      </c>
      <c r="H412" s="1080">
        <f>Quarts!N104</f>
        <v>17</v>
      </c>
      <c r="I412" s="1080">
        <f>Quarts!O104</f>
        <v>73</v>
      </c>
      <c r="J412" s="1080">
        <f>Quarts!P104</f>
        <v>114</v>
      </c>
      <c r="K412" s="1080">
        <f>Quarts!R104</f>
        <v>182</v>
      </c>
      <c r="L412" s="1080"/>
      <c r="M412" s="1080">
        <f>Quarts!S104</f>
        <v>262.7</v>
      </c>
    </row>
    <row r="413" spans="2:13" ht="14.1" x14ac:dyDescent="0.5">
      <c r="B413" s="613" t="s">
        <v>1483</v>
      </c>
      <c r="C413" s="614" t="str">
        <f t="shared" ref="C413:M413" si="55">C408</f>
        <v>Q1 21</v>
      </c>
      <c r="D413" s="614" t="str">
        <f t="shared" si="55"/>
        <v>Q2 21</v>
      </c>
      <c r="E413" s="614" t="str">
        <f t="shared" si="55"/>
        <v>Q3 21</v>
      </c>
      <c r="F413" s="614" t="str">
        <f t="shared" si="55"/>
        <v>Q4 21</v>
      </c>
      <c r="G413" s="614" t="str">
        <f t="shared" si="55"/>
        <v>Q1 22</v>
      </c>
      <c r="H413" s="614" t="str">
        <f t="shared" si="55"/>
        <v>Q2 22</v>
      </c>
      <c r="I413" s="614" t="str">
        <f t="shared" si="55"/>
        <v>Q3 22</v>
      </c>
      <c r="J413" s="614" t="str">
        <f t="shared" si="55"/>
        <v>Q4 22</v>
      </c>
      <c r="K413" s="614" t="str">
        <f t="shared" si="55"/>
        <v>Q1 23</v>
      </c>
      <c r="L413" s="614"/>
      <c r="M413" s="614" t="str">
        <f t="shared" si="55"/>
        <v>Q2 23</v>
      </c>
    </row>
    <row r="414" spans="2:13" ht="14.1" x14ac:dyDescent="0.5">
      <c r="B414" s="1078" t="str">
        <f>B409</f>
        <v>NII + F&amp;C</v>
      </c>
      <c r="C414" s="1080">
        <f t="shared" ref="C414:M414" si="56">C409-C404</f>
        <v>2.3000000000000114</v>
      </c>
      <c r="D414" s="1080">
        <f t="shared" si="56"/>
        <v>4.8999999999999773</v>
      </c>
      <c r="E414" s="1080">
        <f t="shared" si="56"/>
        <v>4.8999999999999773</v>
      </c>
      <c r="F414" s="1080">
        <f t="shared" si="56"/>
        <v>36.140000000000043</v>
      </c>
      <c r="G414" s="1080">
        <f t="shared" si="56"/>
        <v>61.964000000000055</v>
      </c>
      <c r="H414" s="1080">
        <f t="shared" si="56"/>
        <v>38.261000000000081</v>
      </c>
      <c r="I414" s="1080">
        <f t="shared" si="56"/>
        <v>69.200000000000045</v>
      </c>
      <c r="J414" s="1080">
        <f t="shared" si="56"/>
        <v>86.074999999999704</v>
      </c>
      <c r="K414" s="1080">
        <f t="shared" si="56"/>
        <v>91.833000000000084</v>
      </c>
      <c r="L414" s="1080"/>
      <c r="M414" s="1080">
        <f t="shared" si="56"/>
        <v>1415.2000000000003</v>
      </c>
    </row>
    <row r="415" spans="2:13" ht="14.1" x14ac:dyDescent="0.5">
      <c r="B415" s="552" t="str">
        <f>B410</f>
        <v>Costs (inc SBC)</v>
      </c>
      <c r="C415" s="567">
        <f t="shared" ref="C415:M415" si="57">C410-C405</f>
        <v>51.700000000000017</v>
      </c>
      <c r="D415" s="567">
        <f t="shared" si="57"/>
        <v>30.099999999999994</v>
      </c>
      <c r="E415" s="567">
        <f t="shared" si="57"/>
        <v>28.600000000000023</v>
      </c>
      <c r="F415" s="567">
        <f t="shared" si="57"/>
        <v>57.916999999999916</v>
      </c>
      <c r="G415" s="567">
        <f t="shared" si="57"/>
        <v>70.492999999999995</v>
      </c>
      <c r="H415" s="567">
        <f t="shared" si="57"/>
        <v>51.58099999999996</v>
      </c>
      <c r="I415" s="567">
        <f t="shared" si="57"/>
        <v>48.200000000000045</v>
      </c>
      <c r="J415" s="567">
        <f t="shared" si="57"/>
        <v>101.42599999999987</v>
      </c>
      <c r="K415" s="567">
        <f t="shared" si="57"/>
        <v>57.600000000000023</v>
      </c>
      <c r="L415" s="567"/>
      <c r="M415" s="567">
        <f t="shared" si="57"/>
        <v>500.8</v>
      </c>
    </row>
    <row r="416" spans="2:13" ht="14.1" x14ac:dyDescent="0.5">
      <c r="B416" s="1078" t="s">
        <v>1484</v>
      </c>
      <c r="C416" s="1081">
        <f t="shared" ref="C416:M416" si="58">C415/C414</f>
        <v>22.478260869565112</v>
      </c>
      <c r="D416" s="1081">
        <f t="shared" si="58"/>
        <v>6.1428571428571699</v>
      </c>
      <c r="E416" s="1081">
        <f t="shared" si="58"/>
        <v>5.8367346938775828</v>
      </c>
      <c r="F416" s="1081">
        <f t="shared" si="58"/>
        <v>1.6025733259546167</v>
      </c>
      <c r="G416" s="1081">
        <f t="shared" si="58"/>
        <v>1.1376444387063445</v>
      </c>
      <c r="H416" s="1081">
        <f t="shared" si="58"/>
        <v>1.3481351768118934</v>
      </c>
      <c r="I416" s="1081">
        <f t="shared" si="58"/>
        <v>0.69653179190751469</v>
      </c>
      <c r="J416" s="1081">
        <f t="shared" si="58"/>
        <v>1.1783444670345655</v>
      </c>
      <c r="K416" s="1081">
        <f t="shared" si="58"/>
        <v>0.62722550717062464</v>
      </c>
      <c r="L416" s="1081"/>
      <c r="M416" s="1081">
        <f t="shared" si="58"/>
        <v>0.35387224420576591</v>
      </c>
    </row>
    <row r="417" spans="2:13" ht="14.1" x14ac:dyDescent="0.5">
      <c r="B417" s="552" t="s">
        <v>24</v>
      </c>
      <c r="C417" s="552"/>
      <c r="D417" s="552"/>
      <c r="E417" s="552"/>
      <c r="F417" s="552"/>
      <c r="G417" s="567">
        <f t="shared" ref="G417:M417" si="59">G412-G407</f>
        <v>-2.9000000000000004</v>
      </c>
      <c r="H417" s="567">
        <f t="shared" si="59"/>
        <v>-31</v>
      </c>
      <c r="I417" s="567">
        <f t="shared" si="59"/>
        <v>9</v>
      </c>
      <c r="J417" s="567">
        <f t="shared" si="59"/>
        <v>-44</v>
      </c>
      <c r="K417" s="567">
        <f t="shared" si="59"/>
        <v>11</v>
      </c>
      <c r="L417" s="567"/>
      <c r="M417" s="567">
        <f t="shared" si="59"/>
        <v>262.7</v>
      </c>
    </row>
    <row r="418" spans="2:13" ht="14.1" x14ac:dyDescent="0.5">
      <c r="B418" s="1082" t="s">
        <v>1518</v>
      </c>
      <c r="C418" s="1084"/>
      <c r="D418" s="1084"/>
      <c r="E418" s="1084"/>
      <c r="F418" s="1084"/>
      <c r="G418" s="1084"/>
      <c r="H418" s="1084"/>
      <c r="I418" s="1084"/>
      <c r="J418" s="1084"/>
      <c r="K418" s="1084"/>
      <c r="L418" s="1084"/>
      <c r="M418" s="1084"/>
    </row>
    <row r="419" spans="2:13" ht="14.1" x14ac:dyDescent="0.5">
      <c r="B419" s="618" t="str">
        <f>B414</f>
        <v>NII + F&amp;C</v>
      </c>
      <c r="C419" s="612">
        <f t="shared" ref="C419:M419" si="60">C414/C409</f>
        <v>1.0782934833567797E-2</v>
      </c>
      <c r="D419" s="612">
        <f t="shared" si="60"/>
        <v>1.7569021154535597E-2</v>
      </c>
      <c r="E419" s="612">
        <f t="shared" si="60"/>
        <v>1.2911725955204156E-2</v>
      </c>
      <c r="F419" s="612">
        <f t="shared" si="60"/>
        <v>7.8746677125550266E-2</v>
      </c>
      <c r="G419" s="612">
        <f t="shared" si="60"/>
        <v>0.10254458316232649</v>
      </c>
      <c r="H419" s="612">
        <f t="shared" si="60"/>
        <v>5.1010517811218126E-2</v>
      </c>
      <c r="I419" s="612">
        <f t="shared" si="60"/>
        <v>8.1700118063754476E-2</v>
      </c>
      <c r="J419" s="612">
        <f t="shared" si="60"/>
        <v>8.2472992071286291E-2</v>
      </c>
      <c r="K419" s="612">
        <f t="shared" si="60"/>
        <v>7.7934675511930909E-2</v>
      </c>
      <c r="L419" s="612"/>
      <c r="M419" s="612">
        <f t="shared" si="60"/>
        <v>1</v>
      </c>
    </row>
    <row r="423" spans="2:13" x14ac:dyDescent="0.5">
      <c r="B423" s="79" t="s">
        <v>2308</v>
      </c>
      <c r="I423" s="779" t="s">
        <v>1016</v>
      </c>
      <c r="J423" s="779" t="s">
        <v>1017</v>
      </c>
      <c r="K423" s="779" t="s">
        <v>2107</v>
      </c>
      <c r="L423" s="779" t="s">
        <v>2303</v>
      </c>
    </row>
    <row r="424" spans="2:13" x14ac:dyDescent="0.5">
      <c r="B424" s="79" t="s">
        <v>2150</v>
      </c>
      <c r="K424" s="309">
        <v>0.7</v>
      </c>
      <c r="L424" s="309">
        <v>0.06</v>
      </c>
    </row>
    <row r="425" spans="2:13" x14ac:dyDescent="0.5">
      <c r="B425" s="79" t="s">
        <v>2309</v>
      </c>
      <c r="I425" s="309">
        <v>0.19</v>
      </c>
      <c r="J425" s="309">
        <v>0.05</v>
      </c>
      <c r="K425" s="309">
        <v>0.18</v>
      </c>
      <c r="L425" s="309">
        <v>0.06</v>
      </c>
    </row>
    <row r="447" spans="2:18" x14ac:dyDescent="0.5">
      <c r="B447" s="128"/>
      <c r="C447" s="128"/>
      <c r="D447" s="128"/>
      <c r="E447" s="128"/>
      <c r="F447" s="128"/>
      <c r="G447" s="128"/>
      <c r="H447" s="128"/>
      <c r="I447" s="129" t="str">
        <f>Quarts!M2</f>
        <v>Q1 22</v>
      </c>
      <c r="J447" s="129" t="str">
        <f>Quarts!N2</f>
        <v>Q2 22</v>
      </c>
      <c r="K447" s="129" t="str">
        <f>Quarts!O2</f>
        <v>Q3 22</v>
      </c>
      <c r="L447" s="129" t="str">
        <f>Quarts!P2</f>
        <v>Q4 22</v>
      </c>
      <c r="M447" s="129" t="str">
        <f>Quarts!R2</f>
        <v>Q1 23</v>
      </c>
      <c r="N447" s="129" t="str">
        <f>Quarts!S2</f>
        <v>Q2 23</v>
      </c>
      <c r="O447" s="129" t="str">
        <f>Quarts!T2</f>
        <v>Q3 23</v>
      </c>
      <c r="P447" s="129" t="str">
        <f>Quarts!U2</f>
        <v>Q4 23</v>
      </c>
      <c r="Q447" s="129" t="str">
        <f>Quarts!W2</f>
        <v>Q1 24</v>
      </c>
      <c r="R447" s="129" t="str">
        <f>Quarts!X2</f>
        <v>Q2 24</v>
      </c>
    </row>
    <row r="448" spans="2:18" x14ac:dyDescent="0.5">
      <c r="B448" s="79" t="s">
        <v>921</v>
      </c>
      <c r="I448" s="80">
        <f>Quarts!M254</f>
        <v>920.90899999999999</v>
      </c>
      <c r="J448" s="80">
        <f>Quarts!N254</f>
        <v>967.62400000000002</v>
      </c>
      <c r="K448" s="80">
        <f>Quarts!O254</f>
        <v>1125.954</v>
      </c>
      <c r="L448" s="80">
        <f>Quarts!P254</f>
        <v>1351</v>
      </c>
      <c r="M448" s="80">
        <f>Quarts!R254</f>
        <v>1632</v>
      </c>
      <c r="N448" s="80">
        <f>Quarts!S254</f>
        <v>2033</v>
      </c>
      <c r="O448" s="80">
        <f>Quarts!T254</f>
        <v>2252</v>
      </c>
      <c r="P448" s="80">
        <f>Quarts!U254</f>
        <v>2608</v>
      </c>
      <c r="Q448" s="80">
        <f>Quarts!W254</f>
        <v>2912</v>
      </c>
      <c r="R448" s="80">
        <f>Quarts!X254</f>
        <v>2936.4490000000005</v>
      </c>
    </row>
    <row r="449" spans="2:18" x14ac:dyDescent="0.5">
      <c r="B449" s="79" t="s">
        <v>673</v>
      </c>
      <c r="I449" s="80"/>
      <c r="J449" s="80"/>
      <c r="K449" s="80"/>
      <c r="L449" s="80"/>
      <c r="M449" s="80">
        <f t="shared" ref="M449:Q449" si="61">M448-I448</f>
        <v>711.09100000000001</v>
      </c>
      <c r="N449" s="80">
        <f t="shared" si="61"/>
        <v>1065.376</v>
      </c>
      <c r="O449" s="80">
        <f t="shared" si="61"/>
        <v>1126.046</v>
      </c>
      <c r="P449" s="80">
        <f t="shared" si="61"/>
        <v>1257</v>
      </c>
      <c r="Q449" s="80">
        <f t="shared" si="61"/>
        <v>1280</v>
      </c>
      <c r="R449" s="80">
        <f>R448-N448</f>
        <v>903.44900000000052</v>
      </c>
    </row>
    <row r="450" spans="2:18" x14ac:dyDescent="0.5">
      <c r="B450" s="79" t="s">
        <v>2317</v>
      </c>
      <c r="I450" s="80"/>
      <c r="J450" s="80"/>
      <c r="K450" s="80"/>
      <c r="L450" s="80"/>
      <c r="M450" s="80"/>
      <c r="N450" s="80"/>
      <c r="O450" s="80"/>
      <c r="P450" s="80"/>
      <c r="Q450" s="80"/>
      <c r="R450" s="80"/>
    </row>
    <row r="451" spans="2:18" x14ac:dyDescent="0.5">
      <c r="I451" s="80"/>
      <c r="J451" s="80"/>
      <c r="K451" s="80"/>
      <c r="L451" s="80"/>
      <c r="M451" s="80"/>
      <c r="N451" s="80"/>
      <c r="O451" s="80"/>
      <c r="P451" s="80"/>
      <c r="Q451" s="80"/>
      <c r="R451" s="80"/>
    </row>
    <row r="452" spans="2:18" x14ac:dyDescent="0.5">
      <c r="B452" s="79" t="s">
        <v>2310</v>
      </c>
      <c r="I452" s="80">
        <f>Quarts!M393</f>
        <v>308.76681500000001</v>
      </c>
      <c r="J452" s="80">
        <f>Quarts!N393</f>
        <v>373.99667000000005</v>
      </c>
      <c r="K452" s="80">
        <f>Quarts!O393</f>
        <v>456.69932899999998</v>
      </c>
      <c r="L452" s="80">
        <f>Quarts!P393</f>
        <v>585.36399999999992</v>
      </c>
      <c r="M452" s="80">
        <f>Quarts!R393</f>
        <v>704.55</v>
      </c>
      <c r="N452" s="80">
        <f>Quarts!S393</f>
        <v>876.38599999999997</v>
      </c>
      <c r="O452" s="80">
        <f>Quarts!T393</f>
        <v>941.68615799999998</v>
      </c>
      <c r="P452" s="80">
        <f>Quarts!U393</f>
        <v>1111.664</v>
      </c>
      <c r="Q452" s="80">
        <f>Quarts!W393</f>
        <v>1233.0801000000001</v>
      </c>
      <c r="R452" s="80">
        <f>Quarts!X393</f>
        <v>1328.0014300000003</v>
      </c>
    </row>
    <row r="453" spans="2:18" x14ac:dyDescent="0.5">
      <c r="B453" s="79" t="s">
        <v>673</v>
      </c>
      <c r="I453" s="80"/>
      <c r="J453" s="80"/>
      <c r="K453" s="80"/>
      <c r="L453" s="80"/>
      <c r="M453" s="80">
        <f t="shared" ref="M453" si="62">M452-I452</f>
        <v>395.78318499999995</v>
      </c>
      <c r="N453" s="80">
        <f t="shared" ref="N453" si="63">N452-J452</f>
        <v>502.38932999999992</v>
      </c>
      <c r="O453" s="80">
        <f t="shared" ref="O453" si="64">O452-K452</f>
        <v>484.986829</v>
      </c>
      <c r="P453" s="80">
        <f t="shared" ref="P453" si="65">P452-L452</f>
        <v>526.30000000000007</v>
      </c>
      <c r="Q453" s="80">
        <f t="shared" ref="Q453" si="66">Q452-M452</f>
        <v>528.53010000000017</v>
      </c>
      <c r="R453" s="80">
        <f>R452-N452</f>
        <v>451.61543000000029</v>
      </c>
    </row>
    <row r="454" spans="2:18" x14ac:dyDescent="0.5">
      <c r="B454" s="79" t="s">
        <v>2311</v>
      </c>
      <c r="I454" s="1248">
        <f t="shared" ref="I454:R454" si="67">I448/I452</f>
        <v>2.9825387809243682</v>
      </c>
      <c r="J454" s="1248">
        <f t="shared" si="67"/>
        <v>2.5872529827605146</v>
      </c>
      <c r="K454" s="1248">
        <f t="shared" si="67"/>
        <v>2.4654163658733994</v>
      </c>
      <c r="L454" s="1248">
        <f t="shared" si="67"/>
        <v>2.3079656418911996</v>
      </c>
      <c r="M454" s="1248">
        <f t="shared" si="67"/>
        <v>2.3163721524377263</v>
      </c>
      <c r="N454" s="1248">
        <f t="shared" si="67"/>
        <v>2.3197540809643242</v>
      </c>
      <c r="O454" s="1248">
        <f t="shared" si="67"/>
        <v>2.3914549246246861</v>
      </c>
      <c r="P454" s="1248">
        <f t="shared" si="67"/>
        <v>2.3460326141711882</v>
      </c>
      <c r="Q454" s="1248">
        <f t="shared" si="67"/>
        <v>2.3615659680178114</v>
      </c>
      <c r="R454" s="1248">
        <f t="shared" si="67"/>
        <v>2.2111790948899808</v>
      </c>
    </row>
    <row r="455" spans="2:18" x14ac:dyDescent="0.5">
      <c r="B455" s="79" t="s">
        <v>2312</v>
      </c>
      <c r="I455" s="309">
        <f t="shared" ref="I455:Q455" si="68">(I448-H448)/(I452-H452)</f>
        <v>2.9825387809243682</v>
      </c>
      <c r="J455" s="309">
        <f t="shared" si="68"/>
        <v>0.71615980136702739</v>
      </c>
      <c r="K455" s="309">
        <f t="shared" si="68"/>
        <v>1.9144487240730683</v>
      </c>
      <c r="L455" s="309">
        <f t="shared" si="68"/>
        <v>1.7490893051753122</v>
      </c>
      <c r="M455" s="309">
        <f t="shared" si="68"/>
        <v>2.3576594566475921</v>
      </c>
      <c r="N455" s="309">
        <f t="shared" si="68"/>
        <v>2.3336204287809306</v>
      </c>
      <c r="O455" s="309">
        <f t="shared" si="68"/>
        <v>3.3537437995172992</v>
      </c>
      <c r="P455" s="309">
        <f t="shared" si="68"/>
        <v>2.0943906323978392</v>
      </c>
      <c r="Q455" s="309">
        <f t="shared" si="68"/>
        <v>2.5037865653731228</v>
      </c>
      <c r="R455" s="309">
        <f>(R448-N448)/(R452-N452)</f>
        <v>2.0004830215832086</v>
      </c>
    </row>
    <row r="459" spans="2:18" x14ac:dyDescent="0.5">
      <c r="B459" s="79" t="s">
        <v>2316</v>
      </c>
      <c r="I459" s="80">
        <f>Quarts!M394</f>
        <v>326.41063299999996</v>
      </c>
      <c r="J459" s="80">
        <f>Quarts!N394</f>
        <v>337.50918999999999</v>
      </c>
      <c r="K459" s="80">
        <f>Quarts!O394</f>
        <v>408.11429400000003</v>
      </c>
      <c r="L459" s="80">
        <f>Quarts!P394</f>
        <v>416.50899999999996</v>
      </c>
      <c r="M459" s="80">
        <f>Quarts!R394</f>
        <v>563.64</v>
      </c>
      <c r="N459" s="80">
        <f>Quarts!S394</f>
        <v>638.72199999999998</v>
      </c>
      <c r="O459" s="80">
        <f>Quarts!T394</f>
        <v>648.37407600000006</v>
      </c>
      <c r="P459" s="80">
        <f>Quarts!U394</f>
        <v>747.18400000000008</v>
      </c>
      <c r="Q459" s="80">
        <f>Quarts!W394</f>
        <v>978.6350000000001</v>
      </c>
      <c r="R459" s="80">
        <f>Quarts!X394</f>
        <v>853.71520499999997</v>
      </c>
    </row>
    <row r="460" spans="2:18" x14ac:dyDescent="0.5">
      <c r="B460" s="79" t="s">
        <v>2311</v>
      </c>
      <c r="I460" s="1248">
        <f t="shared" ref="I460:Q460" si="69">I448/I459</f>
        <v>2.8213204684419706</v>
      </c>
      <c r="J460" s="1248">
        <f t="shared" si="69"/>
        <v>2.8669560079238141</v>
      </c>
      <c r="K460" s="1248">
        <f t="shared" si="69"/>
        <v>2.7589183141916611</v>
      </c>
      <c r="L460" s="1248">
        <f t="shared" si="69"/>
        <v>3.2436273886038478</v>
      </c>
      <c r="M460" s="1248">
        <f t="shared" si="69"/>
        <v>2.8954651905471578</v>
      </c>
      <c r="N460" s="1248">
        <f t="shared" si="69"/>
        <v>3.1829183901603515</v>
      </c>
      <c r="O460" s="1248">
        <f t="shared" si="69"/>
        <v>3.4733035810025195</v>
      </c>
      <c r="P460" s="1248">
        <f t="shared" si="69"/>
        <v>3.4904387674254265</v>
      </c>
      <c r="Q460" s="1248">
        <f t="shared" si="69"/>
        <v>2.9755731197024424</v>
      </c>
      <c r="R460" s="1248">
        <f>R448/R459</f>
        <v>3.4396119253844151</v>
      </c>
    </row>
    <row r="461" spans="2:18" x14ac:dyDescent="0.5">
      <c r="B461" s="79" t="s">
        <v>2312</v>
      </c>
      <c r="I461" s="309">
        <f t="shared" ref="I461:Q461" si="70">(I448-H448)/(I459-H459)</f>
        <v>2.8213204684419706</v>
      </c>
      <c r="J461" s="309">
        <f t="shared" si="70"/>
        <v>4.2091057423050504</v>
      </c>
      <c r="K461" s="309">
        <f t="shared" si="70"/>
        <v>2.2424724422189057</v>
      </c>
      <c r="L461" s="309">
        <f t="shared" si="70"/>
        <v>26.808085953218846</v>
      </c>
      <c r="M461" s="309">
        <f t="shared" si="70"/>
        <v>1.9098626394165741</v>
      </c>
      <c r="N461" s="309">
        <f t="shared" si="70"/>
        <v>5.3408273620841218</v>
      </c>
      <c r="O461" s="309">
        <f t="shared" si="70"/>
        <v>22.689419353929477</v>
      </c>
      <c r="P461" s="309">
        <f t="shared" si="70"/>
        <v>3.6028769741792326</v>
      </c>
      <c r="Q461" s="309">
        <f t="shared" si="70"/>
        <v>1.3134529554851782</v>
      </c>
      <c r="R461" s="309">
        <f>(R448-Q448)/(R459-Q459)</f>
        <v>-0.19571758022818159</v>
      </c>
    </row>
    <row r="466" spans="2:21" x14ac:dyDescent="0.5">
      <c r="B466" s="79" t="s">
        <v>2322</v>
      </c>
      <c r="I466" s="309">
        <f>Quarts!M39</f>
        <v>0.31429655965629616</v>
      </c>
      <c r="J466" s="309">
        <f>Quarts!N39</f>
        <v>0.29241828292418282</v>
      </c>
      <c r="K466" s="309">
        <f>Quarts!O39</f>
        <v>0.28732114163287165</v>
      </c>
      <c r="L466" s="309">
        <f>Quarts!P39</f>
        <v>0.28628146995873888</v>
      </c>
      <c r="M466" s="309">
        <f>Quarts!R39</f>
        <v>0.29287208657150593</v>
      </c>
      <c r="N466" s="309">
        <f>Quarts!S39</f>
        <v>0.31595847158300333</v>
      </c>
      <c r="O466" s="309">
        <f>Quarts!T39</f>
        <v>0.29343519481382546</v>
      </c>
      <c r="P466" s="309">
        <f>Quarts!U39</f>
        <v>0.24606830158927756</v>
      </c>
      <c r="Q466" s="309">
        <f>Quarts!W39</f>
        <v>0.30372807017543857</v>
      </c>
      <c r="R466" s="309">
        <f>Quarts!X39</f>
        <v>0.26678835960262576</v>
      </c>
      <c r="S466" s="309"/>
      <c r="T466" s="309"/>
      <c r="U466" s="309"/>
    </row>
  </sheetData>
  <phoneticPr fontId="94" type="noConversion"/>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6242E-31F1-4B2F-BEBD-6BEC46CBB2B0}">
  <dimension ref="A1:X528"/>
  <sheetViews>
    <sheetView zoomScale="59" zoomScaleNormal="80" workbookViewId="0">
      <pane xSplit="1" ySplit="4" topLeftCell="B13" activePane="bottomRight" state="frozen"/>
      <selection pane="topRight" activeCell="B1" sqref="B1"/>
      <selection pane="bottomLeft" activeCell="A5" sqref="A5"/>
      <selection pane="bottomRight" activeCell="H42" sqref="H42:O42"/>
    </sheetView>
  </sheetViews>
  <sheetFormatPr defaultRowHeight="15.6" x14ac:dyDescent="0.6"/>
  <cols>
    <col min="1" max="1" width="61.19921875" bestFit="1" customWidth="1"/>
    <col min="2" max="2" width="10.59765625" bestFit="1" customWidth="1"/>
    <col min="3" max="15" width="7.5" customWidth="1"/>
    <col min="18" max="18" width="9" customWidth="1"/>
    <col min="19" max="19" width="25.5" bestFit="1" customWidth="1"/>
    <col min="20" max="20" width="17.09765625" bestFit="1" customWidth="1"/>
    <col min="21" max="22" width="6.5" bestFit="1" customWidth="1"/>
    <col min="23" max="23" width="7.19921875" bestFit="1" customWidth="1"/>
    <col min="24" max="24" width="6.5" bestFit="1" customWidth="1"/>
  </cols>
  <sheetData>
    <row r="1" spans="1:15" x14ac:dyDescent="0.6">
      <c r="A1" s="96" t="s">
        <v>135</v>
      </c>
      <c r="B1" s="17">
        <v>2017</v>
      </c>
      <c r="C1" s="17">
        <v>2018</v>
      </c>
      <c r="D1" s="17">
        <v>2019</v>
      </c>
      <c r="E1" s="17">
        <v>2020</v>
      </c>
      <c r="F1" s="17">
        <v>2021</v>
      </c>
      <c r="G1" s="17">
        <v>2022</v>
      </c>
      <c r="H1" s="17">
        <v>2023</v>
      </c>
      <c r="I1" s="18">
        <v>2024</v>
      </c>
      <c r="J1" s="18">
        <v>2025</v>
      </c>
      <c r="K1" s="18">
        <v>2026</v>
      </c>
      <c r="L1" s="18">
        <v>2027</v>
      </c>
      <c r="M1" s="18">
        <v>2028</v>
      </c>
      <c r="N1" s="18">
        <v>2029</v>
      </c>
      <c r="O1" s="18">
        <v>2030</v>
      </c>
    </row>
    <row r="2" spans="1:15" x14ac:dyDescent="0.6">
      <c r="A2" s="20" t="s">
        <v>136</v>
      </c>
      <c r="B2" s="20"/>
      <c r="C2" s="21" t="s">
        <v>7</v>
      </c>
      <c r="D2" s="21" t="s">
        <v>7</v>
      </c>
      <c r="E2" s="21" t="s">
        <v>7</v>
      </c>
      <c r="F2" s="21" t="s">
        <v>7</v>
      </c>
      <c r="G2" s="21" t="s">
        <v>7</v>
      </c>
      <c r="H2" s="21" t="s">
        <v>7</v>
      </c>
      <c r="I2" s="21" t="s">
        <v>8</v>
      </c>
      <c r="J2" s="21" t="s">
        <v>8</v>
      </c>
      <c r="K2" s="21" t="s">
        <v>8</v>
      </c>
      <c r="L2" s="21" t="s">
        <v>8</v>
      </c>
      <c r="M2" s="21" t="s">
        <v>8</v>
      </c>
      <c r="N2" s="21" t="s">
        <v>8</v>
      </c>
      <c r="O2" s="21" t="s">
        <v>8</v>
      </c>
    </row>
    <row r="3" spans="1:15" x14ac:dyDescent="0.6">
      <c r="A3" s="20"/>
      <c r="B3" s="20"/>
      <c r="C3" s="21"/>
      <c r="D3" s="21"/>
      <c r="E3" s="21"/>
      <c r="F3" s="21"/>
      <c r="G3" s="21"/>
      <c r="H3" s="21"/>
      <c r="I3" s="21"/>
      <c r="J3" s="21"/>
      <c r="K3" s="21"/>
      <c r="L3" s="21"/>
      <c r="M3" s="21"/>
      <c r="N3" s="21"/>
      <c r="O3" s="21"/>
    </row>
    <row r="4" spans="1:15" x14ac:dyDescent="0.6">
      <c r="A4" s="40" t="s">
        <v>256</v>
      </c>
      <c r="B4" s="40"/>
      <c r="C4" s="1030">
        <f>Macro!C5</f>
        <v>3.6558000000000002</v>
      </c>
      <c r="D4" s="1030">
        <f>Macro!D5</f>
        <v>3.9460999999999999</v>
      </c>
      <c r="E4" s="1030">
        <f>Macro!E5</f>
        <v>5.1551999999999998</v>
      </c>
      <c r="F4" s="1030">
        <f>Macro!F5</f>
        <v>5.3956</v>
      </c>
      <c r="G4" s="1030">
        <f>Macro!G5</f>
        <v>5.16</v>
      </c>
      <c r="H4" s="1030">
        <f>Macro!H5</f>
        <v>4.99</v>
      </c>
      <c r="I4" s="1030">
        <f>Macro!I5</f>
        <v>5.4</v>
      </c>
      <c r="J4" s="1030">
        <f>Macro!J5</f>
        <v>5.56</v>
      </c>
      <c r="K4" s="1030">
        <f>Macro!K5</f>
        <v>5.56</v>
      </c>
      <c r="L4" s="1030">
        <f>Macro!L5</f>
        <v>5.56</v>
      </c>
      <c r="M4" s="1030">
        <f>Macro!M5</f>
        <v>5.56</v>
      </c>
      <c r="N4" s="1030">
        <f>Macro!N5</f>
        <v>5.56</v>
      </c>
      <c r="O4" s="1030">
        <f>Macro!O5</f>
        <v>5.56</v>
      </c>
    </row>
    <row r="5" spans="1:15" x14ac:dyDescent="0.6">
      <c r="A5" s="40"/>
      <c r="B5" s="40"/>
      <c r="C5" s="975"/>
      <c r="D5" s="975"/>
      <c r="E5" s="975"/>
      <c r="F5" s="975"/>
      <c r="G5" s="976"/>
      <c r="H5" s="976"/>
      <c r="I5" s="976"/>
      <c r="J5" s="976"/>
      <c r="K5" s="976"/>
      <c r="L5" s="976"/>
      <c r="M5" s="976"/>
      <c r="N5" s="976"/>
      <c r="O5" s="976"/>
    </row>
    <row r="6" spans="1:15" ht="15.9" thickBot="1" x14ac:dyDescent="0.65">
      <c r="A6" s="65" t="s">
        <v>1299</v>
      </c>
      <c r="B6" s="65"/>
      <c r="C6" s="109"/>
      <c r="D6" s="109"/>
      <c r="E6" s="109"/>
      <c r="F6" s="109"/>
      <c r="G6" s="109"/>
      <c r="H6" s="109"/>
      <c r="I6" s="109"/>
      <c r="J6" s="109"/>
      <c r="K6" s="109"/>
      <c r="L6" s="109"/>
      <c r="M6" s="109"/>
      <c r="N6" s="109"/>
      <c r="O6" s="109"/>
    </row>
    <row r="7" spans="1:15" x14ac:dyDescent="0.6">
      <c r="A7" s="40"/>
      <c r="B7" s="40"/>
      <c r="C7" s="126"/>
      <c r="D7" s="126"/>
      <c r="E7" s="126"/>
      <c r="F7" s="957"/>
      <c r="G7" s="126"/>
      <c r="H7" s="126"/>
      <c r="I7" s="126"/>
      <c r="J7" s="126"/>
      <c r="K7" s="126"/>
      <c r="L7" s="126"/>
      <c r="M7" s="126"/>
      <c r="N7" s="126"/>
      <c r="O7" s="126"/>
    </row>
    <row r="8" spans="1:15" x14ac:dyDescent="0.6">
      <c r="A8" s="958" t="s">
        <v>708</v>
      </c>
      <c r="B8" s="958"/>
      <c r="C8" s="957">
        <f>Subs!B9</f>
        <v>5.0999999999999996</v>
      </c>
      <c r="D8" s="957">
        <f>Subs!C9</f>
        <v>12.1</v>
      </c>
      <c r="E8" s="957">
        <f>E18</f>
        <v>21.8</v>
      </c>
      <c r="F8" s="957">
        <f>F18</f>
        <v>41.1</v>
      </c>
      <c r="G8" s="957">
        <f>G18</f>
        <v>61.2</v>
      </c>
      <c r="H8" s="957">
        <f>H18</f>
        <v>78</v>
      </c>
      <c r="I8" s="957">
        <f t="shared" ref="I8:O8" si="0">I84+I137+I168</f>
        <v>94.2</v>
      </c>
      <c r="J8" s="957">
        <f t="shared" si="0"/>
        <v>106.6</v>
      </c>
      <c r="K8" s="957">
        <f t="shared" si="0"/>
        <v>116.39999999999999</v>
      </c>
      <c r="L8" s="957">
        <f t="shared" si="0"/>
        <v>125.39999999999999</v>
      </c>
      <c r="M8" s="957">
        <f t="shared" si="0"/>
        <v>132.4</v>
      </c>
      <c r="N8" s="957">
        <f t="shared" si="0"/>
        <v>136.9</v>
      </c>
      <c r="O8" s="957">
        <f t="shared" si="0"/>
        <v>140.30000000000001</v>
      </c>
    </row>
    <row r="9" spans="1:15" x14ac:dyDescent="0.6">
      <c r="A9" s="959" t="s">
        <v>261</v>
      </c>
      <c r="B9" s="959"/>
      <c r="C9" s="149"/>
      <c r="D9" s="960">
        <f t="shared" ref="D9:O9" si="1">D8/C8-1</f>
        <v>1.3725490196078431</v>
      </c>
      <c r="E9" s="961">
        <f t="shared" si="1"/>
        <v>0.80165289256198369</v>
      </c>
      <c r="F9" s="961">
        <f t="shared" si="1"/>
        <v>0.8853211009174311</v>
      </c>
      <c r="G9" s="960">
        <f t="shared" si="1"/>
        <v>0.48905109489051091</v>
      </c>
      <c r="H9" s="960">
        <f t="shared" si="1"/>
        <v>0.27450980392156854</v>
      </c>
      <c r="I9" s="960">
        <f t="shared" si="1"/>
        <v>0.20769230769230762</v>
      </c>
      <c r="J9" s="960">
        <f t="shared" si="1"/>
        <v>0.13163481953290868</v>
      </c>
      <c r="K9" s="960">
        <f t="shared" si="1"/>
        <v>9.1932457786116251E-2</v>
      </c>
      <c r="L9" s="960">
        <f t="shared" si="1"/>
        <v>7.7319587628865927E-2</v>
      </c>
      <c r="M9" s="960">
        <f t="shared" si="1"/>
        <v>5.5821371610845327E-2</v>
      </c>
      <c r="N9" s="960">
        <f t="shared" si="1"/>
        <v>3.3987915407855063E-2</v>
      </c>
      <c r="O9" s="960">
        <f t="shared" si="1"/>
        <v>2.4835646457268101E-2</v>
      </c>
    </row>
    <row r="10" spans="1:15" x14ac:dyDescent="0.6">
      <c r="A10" s="959"/>
      <c r="B10" s="959"/>
      <c r="C10" s="149"/>
      <c r="D10" s="960"/>
      <c r="E10" s="961"/>
      <c r="F10" s="961"/>
      <c r="G10" s="960"/>
      <c r="H10" s="960"/>
      <c r="I10" s="960"/>
      <c r="J10" s="960"/>
      <c r="K10" s="960"/>
      <c r="L10" s="960"/>
      <c r="M10" s="960"/>
      <c r="N10" s="960"/>
      <c r="O10" s="960"/>
    </row>
    <row r="11" spans="1:15" x14ac:dyDescent="0.6">
      <c r="A11" s="952" t="s">
        <v>175</v>
      </c>
      <c r="B11" s="962">
        <v>0</v>
      </c>
      <c r="C11" s="962">
        <v>6</v>
      </c>
      <c r="D11" s="962">
        <v>20.100000000000001</v>
      </c>
      <c r="E11" s="962">
        <v>33.299999999999997</v>
      </c>
      <c r="F11" s="962">
        <v>53.9</v>
      </c>
      <c r="G11" s="962">
        <v>74.599999999999994</v>
      </c>
      <c r="H11" s="962">
        <v>93.9</v>
      </c>
      <c r="I11" s="963">
        <f t="shared" ref="I11:O11" si="2">I18/I20</f>
        <v>113.4023076923077</v>
      </c>
      <c r="J11" s="963">
        <f t="shared" si="2"/>
        <v>128.33000000000001</v>
      </c>
      <c r="K11" s="963">
        <f t="shared" si="2"/>
        <v>140.12769230769231</v>
      </c>
      <c r="L11" s="963">
        <f t="shared" si="2"/>
        <v>150.96230769230769</v>
      </c>
      <c r="M11" s="963">
        <f t="shared" si="2"/>
        <v>159.38923076923081</v>
      </c>
      <c r="N11" s="963">
        <f t="shared" si="2"/>
        <v>164.80653846153848</v>
      </c>
      <c r="O11" s="963">
        <f t="shared" si="2"/>
        <v>168.89961538461543</v>
      </c>
    </row>
    <row r="12" spans="1:15" x14ac:dyDescent="0.6">
      <c r="A12" s="955" t="s">
        <v>709</v>
      </c>
      <c r="B12" s="962">
        <v>0</v>
      </c>
      <c r="C12" s="962">
        <v>6</v>
      </c>
      <c r="D12" s="962">
        <v>20.100000000000001</v>
      </c>
      <c r="E12" s="962">
        <v>33.299999999999997</v>
      </c>
      <c r="F12" s="962">
        <v>52.4</v>
      </c>
      <c r="G12" s="962">
        <v>70.900000000000006</v>
      </c>
      <c r="H12" s="962">
        <v>87.8</v>
      </c>
      <c r="I12" s="963">
        <f>I21/I$20</f>
        <v>101.0423076923077</v>
      </c>
      <c r="J12" s="963">
        <f t="shared" ref="J12:O12" si="3">J21/J$20</f>
        <v>108.26538461538462</v>
      </c>
      <c r="K12" s="963">
        <f t="shared" si="3"/>
        <v>113.08076923076923</v>
      </c>
      <c r="L12" s="963">
        <f t="shared" si="3"/>
        <v>116.69230769230769</v>
      </c>
      <c r="M12" s="963">
        <f t="shared" si="3"/>
        <v>119.10000000000001</v>
      </c>
      <c r="N12" s="963">
        <f t="shared" si="3"/>
        <v>121.50769230769231</v>
      </c>
      <c r="O12" s="963">
        <f t="shared" si="3"/>
        <v>123.91538461538462</v>
      </c>
    </row>
    <row r="13" spans="1:15" x14ac:dyDescent="0.6">
      <c r="A13" s="955" t="s">
        <v>710</v>
      </c>
      <c r="B13" s="172"/>
      <c r="C13" s="964"/>
      <c r="D13" s="965"/>
      <c r="E13" s="962"/>
      <c r="F13" s="962">
        <v>1.4</v>
      </c>
      <c r="G13" s="962">
        <v>3.2</v>
      </c>
      <c r="H13" s="962">
        <v>5.2</v>
      </c>
      <c r="I13" s="963">
        <f t="shared" ref="I13:O13" si="4">I22/I$20</f>
        <v>11.219230769230769</v>
      </c>
      <c r="J13" s="963">
        <f>J22/J$20</f>
        <v>18.442307692307693</v>
      </c>
      <c r="K13" s="963">
        <f t="shared" si="4"/>
        <v>24.461538461538463</v>
      </c>
      <c r="L13" s="963">
        <f t="shared" si="4"/>
        <v>30.480769230769234</v>
      </c>
      <c r="M13" s="963">
        <f t="shared" si="4"/>
        <v>35.29615384615385</v>
      </c>
      <c r="N13" s="963">
        <f t="shared" si="4"/>
        <v>37.703846153846158</v>
      </c>
      <c r="O13" s="963">
        <f t="shared" si="4"/>
        <v>38.907692307692308</v>
      </c>
    </row>
    <row r="14" spans="1:15" x14ac:dyDescent="0.6">
      <c r="A14" s="955" t="s">
        <v>711</v>
      </c>
      <c r="B14" s="172"/>
      <c r="C14" s="964"/>
      <c r="D14" s="965"/>
      <c r="E14" s="962"/>
      <c r="F14" s="211">
        <f>F11-F12-F13</f>
        <v>0.10000000000000009</v>
      </c>
      <c r="G14" s="211">
        <f>G11-G12-G13</f>
        <v>0.49999999999998845</v>
      </c>
      <c r="H14" s="211">
        <f>H11-H12-H13</f>
        <v>0.90000000000000835</v>
      </c>
      <c r="I14" s="963">
        <f t="shared" ref="I14:O14" si="5">I23/I$20</f>
        <v>1.140769230769239</v>
      </c>
      <c r="J14" s="963">
        <f t="shared" si="5"/>
        <v>1.6223076923077009</v>
      </c>
      <c r="K14" s="963">
        <f t="shared" si="5"/>
        <v>2.5853846153846245</v>
      </c>
      <c r="L14" s="963">
        <f t="shared" si="5"/>
        <v>3.7892307692307785</v>
      </c>
      <c r="M14" s="963">
        <f t="shared" si="5"/>
        <v>4.9930769230769325</v>
      </c>
      <c r="N14" s="963">
        <f t="shared" si="5"/>
        <v>5.5950000000000095</v>
      </c>
      <c r="O14" s="963">
        <f t="shared" si="5"/>
        <v>6.0765384615384717</v>
      </c>
    </row>
    <row r="15" spans="1:15" x14ac:dyDescent="0.6">
      <c r="A15" s="955"/>
      <c r="B15" s="178"/>
      <c r="C15" s="966"/>
      <c r="D15" s="967"/>
      <c r="E15" s="966"/>
      <c r="F15" s="966"/>
      <c r="G15" s="966"/>
      <c r="H15" s="966"/>
      <c r="I15" s="968"/>
      <c r="J15" s="969"/>
      <c r="K15" s="969"/>
      <c r="L15" s="969"/>
      <c r="M15" s="969"/>
      <c r="N15" s="969"/>
      <c r="O15" s="969"/>
    </row>
    <row r="16" spans="1:15" x14ac:dyDescent="0.6">
      <c r="A16" s="1257" t="s">
        <v>2326</v>
      </c>
      <c r="B16" s="178"/>
      <c r="C16" s="966"/>
      <c r="D16" s="967"/>
      <c r="E16" s="966"/>
      <c r="F16" s="957">
        <f>Master!F4/Drivers!F11/12</f>
        <v>2.6236180735930739</v>
      </c>
      <c r="G16" s="957">
        <f>Master!G4/Drivers!G11/12</f>
        <v>5.3509506255585348</v>
      </c>
      <c r="H16" s="957">
        <f>Master!H4/Drivers!H11/12</f>
        <v>7.1246006389776353</v>
      </c>
      <c r="I16" s="957">
        <f>Master!I4/Drivers!I11/12</f>
        <v>8.7870498806063555</v>
      </c>
      <c r="J16" s="957">
        <f>Master!J4/Drivers!J11/12</f>
        <v>9.8988711836656798</v>
      </c>
      <c r="K16" s="957">
        <f>Master!K4/Drivers!K11/12</f>
        <v>11.127281405489542</v>
      </c>
      <c r="L16" s="957">
        <f>Master!L4/Drivers!L11/12</f>
        <v>12.053211640189334</v>
      </c>
      <c r="M16" s="957">
        <f>Master!M4/Drivers!M11/12</f>
        <v>12.859153057162152</v>
      </c>
      <c r="N16" s="957">
        <f>Master!N4/Drivers!N11/12</f>
        <v>13.767520136229505</v>
      </c>
      <c r="O16" s="957">
        <f>Master!O4/Drivers!O11/12</f>
        <v>15.013302513941406</v>
      </c>
    </row>
    <row r="17" spans="1:15" x14ac:dyDescent="0.6">
      <c r="A17" s="955"/>
      <c r="B17" s="178"/>
      <c r="C17" s="966"/>
      <c r="D17" s="967"/>
      <c r="E17" s="966"/>
      <c r="F17" s="966"/>
      <c r="G17" s="966"/>
      <c r="H17" s="966"/>
      <c r="I17" s="968"/>
      <c r="J17" s="969"/>
      <c r="K17" s="969"/>
      <c r="L17" s="969"/>
      <c r="M17" s="969"/>
      <c r="N17" s="969"/>
      <c r="O17" s="969"/>
    </row>
    <row r="18" spans="1:15" x14ac:dyDescent="0.6">
      <c r="A18" s="952" t="s">
        <v>177</v>
      </c>
      <c r="B18" s="962">
        <v>0</v>
      </c>
      <c r="C18" s="962">
        <v>5.0999999999999996</v>
      </c>
      <c r="D18" s="962">
        <v>12.1</v>
      </c>
      <c r="E18" s="962">
        <v>21.8</v>
      </c>
      <c r="F18" s="962">
        <v>41.1</v>
      </c>
      <c r="G18" s="962">
        <v>61.2</v>
      </c>
      <c r="H18" s="962">
        <v>78</v>
      </c>
      <c r="I18" s="211">
        <f t="shared" ref="I18:O18" si="6">I21+I22+I23</f>
        <v>94.2</v>
      </c>
      <c r="J18" s="211">
        <f>J21+J22+J23</f>
        <v>106.6</v>
      </c>
      <c r="K18" s="211">
        <f t="shared" si="6"/>
        <v>116.39999999999999</v>
      </c>
      <c r="L18" s="211">
        <f t="shared" si="6"/>
        <v>125.39999999999999</v>
      </c>
      <c r="M18" s="211">
        <f t="shared" si="6"/>
        <v>132.4</v>
      </c>
      <c r="N18" s="211">
        <f t="shared" si="6"/>
        <v>136.9</v>
      </c>
      <c r="O18" s="211">
        <f t="shared" si="6"/>
        <v>140.30000000000001</v>
      </c>
    </row>
    <row r="19" spans="1:15" x14ac:dyDescent="0.6">
      <c r="A19" s="955" t="s">
        <v>677</v>
      </c>
      <c r="B19" s="211"/>
      <c r="C19" s="211">
        <f t="shared" ref="C19:H19" si="7">C18-B18</f>
        <v>5.0999999999999996</v>
      </c>
      <c r="D19" s="211">
        <f t="shared" si="7"/>
        <v>7</v>
      </c>
      <c r="E19" s="211">
        <f t="shared" si="7"/>
        <v>9.7000000000000011</v>
      </c>
      <c r="F19" s="211">
        <f t="shared" si="7"/>
        <v>19.3</v>
      </c>
      <c r="G19" s="211">
        <f t="shared" si="7"/>
        <v>20.100000000000001</v>
      </c>
      <c r="H19" s="211">
        <f t="shared" si="7"/>
        <v>16.799999999999997</v>
      </c>
      <c r="I19" s="211">
        <f t="shared" ref="I19:O19" si="8">I18-H18</f>
        <v>16.200000000000003</v>
      </c>
      <c r="J19" s="211">
        <f>J18-I18</f>
        <v>12.399999999999991</v>
      </c>
      <c r="K19" s="211">
        <f t="shared" si="8"/>
        <v>9.7999999999999972</v>
      </c>
      <c r="L19" s="211">
        <f t="shared" si="8"/>
        <v>9</v>
      </c>
      <c r="M19" s="211">
        <f t="shared" si="8"/>
        <v>7.0000000000000142</v>
      </c>
      <c r="N19" s="211">
        <f t="shared" si="8"/>
        <v>4.5</v>
      </c>
      <c r="O19" s="211">
        <f t="shared" si="8"/>
        <v>3.4000000000000057</v>
      </c>
    </row>
    <row r="20" spans="1:15" x14ac:dyDescent="0.6">
      <c r="A20" s="955" t="s">
        <v>712</v>
      </c>
      <c r="B20" s="960"/>
      <c r="C20" s="960">
        <f t="shared" ref="C20:H20" si="9">C18/C11</f>
        <v>0.85</v>
      </c>
      <c r="D20" s="960">
        <f t="shared" si="9"/>
        <v>0.60199004975124371</v>
      </c>
      <c r="E20" s="960">
        <f t="shared" si="9"/>
        <v>0.65465465465465478</v>
      </c>
      <c r="F20" s="960">
        <f t="shared" si="9"/>
        <v>0.76252319109461975</v>
      </c>
      <c r="G20" s="960">
        <f t="shared" si="9"/>
        <v>0.82037533512064353</v>
      </c>
      <c r="H20" s="960">
        <f t="shared" si="9"/>
        <v>0.83067092651757179</v>
      </c>
      <c r="I20" s="970">
        <f t="shared" ref="I20:O20" si="10">H20</f>
        <v>0.83067092651757179</v>
      </c>
      <c r="J20" s="970">
        <f>I20</f>
        <v>0.83067092651757179</v>
      </c>
      <c r="K20" s="970">
        <f t="shared" si="10"/>
        <v>0.83067092651757179</v>
      </c>
      <c r="L20" s="970">
        <f t="shared" si="10"/>
        <v>0.83067092651757179</v>
      </c>
      <c r="M20" s="970">
        <f t="shared" si="10"/>
        <v>0.83067092651757179</v>
      </c>
      <c r="N20" s="970">
        <f t="shared" si="10"/>
        <v>0.83067092651757179</v>
      </c>
      <c r="O20" s="970">
        <f t="shared" si="10"/>
        <v>0.83067092651757179</v>
      </c>
    </row>
    <row r="21" spans="1:15" x14ac:dyDescent="0.6">
      <c r="A21" s="955" t="s">
        <v>713</v>
      </c>
      <c r="B21" s="211"/>
      <c r="C21" s="211">
        <f t="shared" ref="C21:H23" si="11">C$20*C12</f>
        <v>5.0999999999999996</v>
      </c>
      <c r="D21" s="211">
        <f t="shared" si="11"/>
        <v>12.1</v>
      </c>
      <c r="E21" s="211">
        <f t="shared" si="11"/>
        <v>21.8</v>
      </c>
      <c r="F21" s="211">
        <f t="shared" si="11"/>
        <v>39.956215213358071</v>
      </c>
      <c r="G21" s="211">
        <f t="shared" si="11"/>
        <v>58.164611260053633</v>
      </c>
      <c r="H21" s="211">
        <f t="shared" si="11"/>
        <v>72.932907348242807</v>
      </c>
      <c r="I21" s="211">
        <f t="shared" ref="I21:O21" si="12">I84</f>
        <v>83.932907348242807</v>
      </c>
      <c r="J21" s="211">
        <f>J84</f>
        <v>89.932907348242807</v>
      </c>
      <c r="K21" s="211">
        <f t="shared" si="12"/>
        <v>93.932907348242807</v>
      </c>
      <c r="L21" s="211">
        <f t="shared" si="12"/>
        <v>96.932907348242807</v>
      </c>
      <c r="M21" s="211">
        <f t="shared" si="12"/>
        <v>98.932907348242807</v>
      </c>
      <c r="N21" s="211">
        <f t="shared" si="12"/>
        <v>100.93290734824281</v>
      </c>
      <c r="O21" s="211">
        <f t="shared" si="12"/>
        <v>102.93290734824281</v>
      </c>
    </row>
    <row r="22" spans="1:15" x14ac:dyDescent="0.6">
      <c r="A22" s="955" t="s">
        <v>714</v>
      </c>
      <c r="B22" s="211"/>
      <c r="C22" s="211">
        <f t="shared" si="11"/>
        <v>0</v>
      </c>
      <c r="D22" s="211">
        <f t="shared" si="11"/>
        <v>0</v>
      </c>
      <c r="E22" s="211">
        <f t="shared" si="11"/>
        <v>0</v>
      </c>
      <c r="F22" s="211">
        <f t="shared" si="11"/>
        <v>1.0675324675324676</v>
      </c>
      <c r="G22" s="211">
        <f t="shared" si="11"/>
        <v>2.6252010723860595</v>
      </c>
      <c r="H22" s="211">
        <f t="shared" si="11"/>
        <v>4.3194888178913731</v>
      </c>
      <c r="I22" s="211">
        <f t="shared" ref="I22:O22" si="13">I137</f>
        <v>9.3194888178913722</v>
      </c>
      <c r="J22" s="211">
        <f>J137</f>
        <v>15.319488817891372</v>
      </c>
      <c r="K22" s="211">
        <f t="shared" si="13"/>
        <v>20.319488817891372</v>
      </c>
      <c r="L22" s="211">
        <f t="shared" si="13"/>
        <v>25.319488817891372</v>
      </c>
      <c r="M22" s="211">
        <f t="shared" si="13"/>
        <v>29.319488817891372</v>
      </c>
      <c r="N22" s="211">
        <f t="shared" si="13"/>
        <v>31.319488817891372</v>
      </c>
      <c r="O22" s="211">
        <f t="shared" si="13"/>
        <v>32.319488817891369</v>
      </c>
    </row>
    <row r="23" spans="1:15" x14ac:dyDescent="0.6">
      <c r="A23" s="955" t="s">
        <v>715</v>
      </c>
      <c r="B23" s="211"/>
      <c r="C23" s="211">
        <f t="shared" si="11"/>
        <v>0</v>
      </c>
      <c r="D23" s="211">
        <f t="shared" si="11"/>
        <v>0</v>
      </c>
      <c r="E23" s="211">
        <f t="shared" si="11"/>
        <v>0</v>
      </c>
      <c r="F23" s="211">
        <f t="shared" si="11"/>
        <v>7.6252319109462036E-2</v>
      </c>
      <c r="G23" s="211">
        <f t="shared" si="11"/>
        <v>0.41018766756031227</v>
      </c>
      <c r="H23" s="211">
        <f t="shared" si="11"/>
        <v>0.74760383386582152</v>
      </c>
      <c r="I23" s="211">
        <f t="shared" ref="I23:O23" si="14">I168</f>
        <v>0.94760383386582148</v>
      </c>
      <c r="J23" s="211">
        <f t="shared" si="14"/>
        <v>1.3476038338658216</v>
      </c>
      <c r="K23" s="211">
        <f t="shared" si="14"/>
        <v>2.1476038338658219</v>
      </c>
      <c r="L23" s="211">
        <f t="shared" si="14"/>
        <v>3.1476038338658219</v>
      </c>
      <c r="M23" s="211">
        <f t="shared" si="14"/>
        <v>4.1476038338658219</v>
      </c>
      <c r="N23" s="211">
        <f t="shared" si="14"/>
        <v>4.6476038338658219</v>
      </c>
      <c r="O23" s="211">
        <f t="shared" si="14"/>
        <v>5.0476038338658222</v>
      </c>
    </row>
    <row r="24" spans="1:15" x14ac:dyDescent="0.6">
      <c r="A24" s="959"/>
      <c r="B24" s="959"/>
      <c r="C24" s="149"/>
      <c r="D24" s="960"/>
      <c r="E24" s="961"/>
      <c r="F24" s="961"/>
      <c r="G24" s="961"/>
      <c r="H24" s="961"/>
      <c r="I24" s="961"/>
      <c r="J24" s="961"/>
      <c r="K24" s="961"/>
      <c r="L24" s="961"/>
      <c r="M24" s="961"/>
      <c r="N24" s="961"/>
      <c r="O24" s="961"/>
    </row>
    <row r="25" spans="1:15" x14ac:dyDescent="0.6">
      <c r="A25" s="955" t="s">
        <v>270</v>
      </c>
      <c r="B25" s="960"/>
      <c r="C25" s="960">
        <f t="shared" ref="C25:F27" si="15">C21/C$18</f>
        <v>1</v>
      </c>
      <c r="D25" s="960">
        <f t="shared" si="15"/>
        <v>1</v>
      </c>
      <c r="E25" s="960">
        <f t="shared" si="15"/>
        <v>1</v>
      </c>
      <c r="F25" s="960">
        <f t="shared" si="15"/>
        <v>0.9721706864564007</v>
      </c>
      <c r="G25" s="960">
        <f t="shared" ref="G25:O25" si="16">G21/G$18</f>
        <v>0.95040214477211815</v>
      </c>
      <c r="H25" s="960">
        <f t="shared" si="16"/>
        <v>0.93503727369542056</v>
      </c>
      <c r="I25" s="960">
        <f t="shared" si="16"/>
        <v>0.89100750900470072</v>
      </c>
      <c r="J25" s="960">
        <f t="shared" si="16"/>
        <v>0.84364828656888191</v>
      </c>
      <c r="K25" s="960">
        <f t="shared" si="16"/>
        <v>0.80698374010517882</v>
      </c>
      <c r="L25" s="960">
        <f t="shared" si="16"/>
        <v>0.77298969177227128</v>
      </c>
      <c r="M25" s="960">
        <f t="shared" si="16"/>
        <v>0.74722739689005135</v>
      </c>
      <c r="N25" s="960">
        <f t="shared" si="16"/>
        <v>0.73727470670739814</v>
      </c>
      <c r="O25" s="960">
        <f t="shared" si="16"/>
        <v>0.73366291766388314</v>
      </c>
    </row>
    <row r="26" spans="1:15" x14ac:dyDescent="0.6">
      <c r="A26" s="955" t="s">
        <v>276</v>
      </c>
      <c r="B26" s="960"/>
      <c r="C26" s="974">
        <f t="shared" si="15"/>
        <v>0</v>
      </c>
      <c r="D26" s="974">
        <f t="shared" si="15"/>
        <v>0</v>
      </c>
      <c r="E26" s="974">
        <f t="shared" si="15"/>
        <v>0</v>
      </c>
      <c r="F26" s="974">
        <f t="shared" si="15"/>
        <v>2.5974025974025972E-2</v>
      </c>
      <c r="G26" s="974">
        <f t="shared" ref="G26:O26" si="17">G22/G$18</f>
        <v>4.2895442359249338E-2</v>
      </c>
      <c r="H26" s="974">
        <f t="shared" si="17"/>
        <v>5.5378061767838119E-2</v>
      </c>
      <c r="I26" s="974">
        <f t="shared" si="17"/>
        <v>9.8933002313071894E-2</v>
      </c>
      <c r="J26" s="974">
        <f t="shared" si="17"/>
        <v>0.14371002643425304</v>
      </c>
      <c r="K26" s="974">
        <f t="shared" si="17"/>
        <v>0.17456605513652382</v>
      </c>
      <c r="L26" s="974">
        <f t="shared" si="17"/>
        <v>0.20190979918573662</v>
      </c>
      <c r="M26" s="974">
        <f t="shared" si="17"/>
        <v>0.22144629016534267</v>
      </c>
      <c r="N26" s="974">
        <f t="shared" si="17"/>
        <v>0.22877639750103265</v>
      </c>
      <c r="O26" s="974">
        <f t="shared" si="17"/>
        <v>0.23035986327791422</v>
      </c>
    </row>
    <row r="27" spans="1:15" x14ac:dyDescent="0.6">
      <c r="A27" s="955" t="s">
        <v>277</v>
      </c>
      <c r="B27" s="960"/>
      <c r="C27" s="974">
        <f t="shared" si="15"/>
        <v>0</v>
      </c>
      <c r="D27" s="974">
        <f t="shared" si="15"/>
        <v>0</v>
      </c>
      <c r="E27" s="974">
        <f t="shared" si="15"/>
        <v>0</v>
      </c>
      <c r="F27" s="974">
        <f t="shared" si="15"/>
        <v>1.8552875695732854E-3</v>
      </c>
      <c r="G27" s="974">
        <f t="shared" ref="G27:O27" si="18">G23/G$18</f>
        <v>6.7024128686325535E-3</v>
      </c>
      <c r="H27" s="974">
        <f t="shared" si="18"/>
        <v>9.5846645367413021E-3</v>
      </c>
      <c r="I27" s="974">
        <f t="shared" si="18"/>
        <v>1.0059488682227403E-2</v>
      </c>
      <c r="J27" s="974">
        <f t="shared" si="18"/>
        <v>1.2641686996865119E-2</v>
      </c>
      <c r="K27" s="974">
        <f t="shared" si="18"/>
        <v>1.845020475829744E-2</v>
      </c>
      <c r="L27" s="974">
        <f t="shared" si="18"/>
        <v>2.5100509041992201E-2</v>
      </c>
      <c r="M27" s="974">
        <f t="shared" si="18"/>
        <v>3.1326312944605902E-2</v>
      </c>
      <c r="N27" s="974">
        <f t="shared" si="18"/>
        <v>3.3948895791569185E-2</v>
      </c>
      <c r="O27" s="974">
        <f t="shared" si="18"/>
        <v>3.5977219058202579E-2</v>
      </c>
    </row>
    <row r="28" spans="1:15" x14ac:dyDescent="0.6">
      <c r="A28" s="958"/>
      <c r="B28" s="958"/>
      <c r="C28" s="971"/>
      <c r="D28" s="971"/>
      <c r="E28" s="971"/>
      <c r="F28" s="971"/>
      <c r="G28" s="971"/>
      <c r="H28" s="971"/>
      <c r="I28" s="971"/>
      <c r="J28" s="971"/>
      <c r="K28" s="971"/>
      <c r="L28" s="971"/>
      <c r="M28" s="971"/>
      <c r="N28" s="971"/>
      <c r="O28" s="971"/>
    </row>
    <row r="29" spans="1:15" x14ac:dyDescent="0.6">
      <c r="A29" s="958" t="s">
        <v>1297</v>
      </c>
      <c r="B29" s="958"/>
      <c r="C29" s="957">
        <f>C87+C140+C171</f>
        <v>3.6974999999999998</v>
      </c>
      <c r="D29" s="957">
        <f>D87+D140+D171</f>
        <v>8.7724999999999991</v>
      </c>
      <c r="E29" s="957">
        <f>E87+E140+E171</f>
        <v>14.2</v>
      </c>
      <c r="F29" s="957">
        <f>F87+F140+F171</f>
        <v>24.298905380333952</v>
      </c>
      <c r="G29" s="170">
        <v>34</v>
      </c>
      <c r="H29" s="170">
        <v>40.6</v>
      </c>
      <c r="I29" s="957">
        <f t="shared" ref="I29:O29" si="19">I87+I140+I171</f>
        <v>49.61798722044729</v>
      </c>
      <c r="J29" s="957">
        <f t="shared" si="19"/>
        <v>57.969680511182112</v>
      </c>
      <c r="K29" s="957">
        <f t="shared" si="19"/>
        <v>67.087092651757189</v>
      </c>
      <c r="L29" s="957">
        <f t="shared" si="19"/>
        <v>75.51853035143769</v>
      </c>
      <c r="M29" s="957">
        <f t="shared" si="19"/>
        <v>81.957188498402544</v>
      </c>
      <c r="N29" s="957">
        <f t="shared" si="19"/>
        <v>86.825846645367406</v>
      </c>
      <c r="O29" s="957">
        <f t="shared" si="19"/>
        <v>91.024504792332266</v>
      </c>
    </row>
    <row r="30" spans="1:15" x14ac:dyDescent="0.6">
      <c r="A30" s="958" t="s">
        <v>1298</v>
      </c>
      <c r="B30" s="958"/>
      <c r="C30" s="957"/>
      <c r="D30" s="957"/>
      <c r="E30" s="957"/>
      <c r="F30" s="957"/>
      <c r="G30" s="973">
        <f>G29/G18</f>
        <v>0.55555555555555558</v>
      </c>
      <c r="H30" s="973">
        <f>H29/H18</f>
        <v>0.52051282051282055</v>
      </c>
      <c r="I30" s="957"/>
      <c r="J30" s="957"/>
      <c r="K30" s="957"/>
      <c r="L30" s="957"/>
      <c r="M30" s="957"/>
      <c r="N30" s="957"/>
      <c r="O30" s="957"/>
    </row>
    <row r="31" spans="1:15" x14ac:dyDescent="0.6">
      <c r="A31" s="958"/>
      <c r="B31" s="958"/>
      <c r="C31" s="971"/>
      <c r="D31" s="971"/>
      <c r="E31" s="971"/>
      <c r="F31" s="971"/>
      <c r="G31" s="971"/>
      <c r="H31" s="971"/>
      <c r="I31" s="971"/>
      <c r="J31" s="971"/>
      <c r="K31" s="971"/>
      <c r="L31" s="971"/>
      <c r="M31" s="971"/>
      <c r="N31" s="971"/>
      <c r="O31" s="971"/>
    </row>
    <row r="32" spans="1:15" x14ac:dyDescent="0.6">
      <c r="A32" s="958" t="s">
        <v>1296</v>
      </c>
      <c r="B32" s="958"/>
      <c r="C32" s="971"/>
      <c r="D32" s="971"/>
      <c r="E32" s="971"/>
      <c r="F32" s="971"/>
      <c r="G32" s="170">
        <v>5</v>
      </c>
      <c r="H32" s="170">
        <v>7.1</v>
      </c>
      <c r="I32" s="971"/>
      <c r="J32" s="971"/>
      <c r="K32" s="971"/>
      <c r="L32" s="971"/>
      <c r="M32" s="971"/>
      <c r="N32" s="971"/>
      <c r="O32" s="971"/>
    </row>
    <row r="33" spans="1:16" x14ac:dyDescent="0.6">
      <c r="A33" s="958" t="s">
        <v>1298</v>
      </c>
      <c r="B33" s="958"/>
      <c r="C33" s="971"/>
      <c r="D33" s="971"/>
      <c r="E33" s="971"/>
      <c r="F33" s="971"/>
      <c r="G33" s="971">
        <f>G32/G18</f>
        <v>8.1699346405228759E-2</v>
      </c>
      <c r="H33" s="971">
        <f>H32/H18</f>
        <v>9.1025641025641021E-2</v>
      </c>
      <c r="I33" s="971"/>
      <c r="J33" s="971"/>
      <c r="K33" s="971"/>
      <c r="L33" s="971"/>
      <c r="M33" s="971"/>
      <c r="N33" s="971"/>
      <c r="O33" s="971"/>
    </row>
    <row r="34" spans="1:16" x14ac:dyDescent="0.6">
      <c r="A34" s="958"/>
      <c r="B34" s="958"/>
      <c r="C34" s="971"/>
      <c r="D34" s="971"/>
      <c r="E34" s="971"/>
      <c r="F34" s="971"/>
      <c r="G34" s="971"/>
      <c r="H34" s="971"/>
      <c r="I34" s="971"/>
      <c r="J34" s="971"/>
      <c r="K34" s="971"/>
      <c r="L34" s="971"/>
      <c r="M34" s="971"/>
      <c r="N34" s="971"/>
      <c r="O34" s="971"/>
    </row>
    <row r="35" spans="1:16" x14ac:dyDescent="0.6">
      <c r="A35" s="952" t="s">
        <v>1310</v>
      </c>
      <c r="B35" s="958"/>
      <c r="C35" s="506">
        <f>C37+C39</f>
        <v>1623.8</v>
      </c>
      <c r="D35" s="506">
        <f>D37+D39</f>
        <v>2844.5</v>
      </c>
      <c r="E35" s="506">
        <f>E37+E39</f>
        <v>3111.2255813953489</v>
      </c>
      <c r="F35" s="506">
        <f>F37+F39</f>
        <v>5975.3099999999995</v>
      </c>
      <c r="G35" s="506">
        <f>G37+G39</f>
        <v>9906</v>
      </c>
      <c r="H35" s="506">
        <f>H37+H39+H41</f>
        <v>15616</v>
      </c>
      <c r="I35" s="506">
        <f t="shared" ref="I35:O35" si="20">I37+I39+I41</f>
        <v>19091.761323170944</v>
      </c>
      <c r="J35" s="506">
        <f t="shared" si="20"/>
        <v>25860.861583710379</v>
      </c>
      <c r="K35" s="506">
        <f t="shared" si="20"/>
        <v>34391.43168693372</v>
      </c>
      <c r="L35" s="506">
        <f t="shared" si="20"/>
        <v>42999.484024857367</v>
      </c>
      <c r="M35" s="506">
        <f t="shared" si="20"/>
        <v>51130.054769453411</v>
      </c>
      <c r="N35" s="506">
        <f t="shared" si="20"/>
        <v>58186.040036997896</v>
      </c>
      <c r="O35" s="506">
        <f t="shared" si="20"/>
        <v>64932.513257949337</v>
      </c>
      <c r="P35" s="474"/>
    </row>
    <row r="36" spans="1:16" x14ac:dyDescent="0.6">
      <c r="A36" s="955" t="s">
        <v>974</v>
      </c>
      <c r="B36" s="958"/>
      <c r="C36" s="972"/>
      <c r="D36" s="967">
        <f>D35/C35-1</f>
        <v>0.75175514225889883</v>
      </c>
      <c r="E36" s="967">
        <f t="shared" ref="E36:O36" si="21">E35/D35-1</f>
        <v>9.376888078584944E-2</v>
      </c>
      <c r="F36" s="967">
        <f t="shared" si="21"/>
        <v>0.92056469184730139</v>
      </c>
      <c r="G36" s="967">
        <f t="shared" si="21"/>
        <v>0.65782193727187388</v>
      </c>
      <c r="H36" s="967">
        <f t="shared" si="21"/>
        <v>0.5764183323238441</v>
      </c>
      <c r="I36" s="967">
        <f t="shared" si="21"/>
        <v>0.22257692899404091</v>
      </c>
      <c r="J36" s="967">
        <f t="shared" si="21"/>
        <v>0.35455609076382255</v>
      </c>
      <c r="K36" s="967">
        <f t="shared" si="21"/>
        <v>0.32986411050576536</v>
      </c>
      <c r="L36" s="967">
        <f t="shared" si="21"/>
        <v>0.25029642314059553</v>
      </c>
      <c r="M36" s="967">
        <f t="shared" si="21"/>
        <v>0.18908530948640867</v>
      </c>
      <c r="N36" s="967">
        <f t="shared" si="21"/>
        <v>0.13800073751847286</v>
      </c>
      <c r="O36" s="967">
        <f t="shared" si="21"/>
        <v>0.1159465950365699</v>
      </c>
      <c r="P36" s="474"/>
    </row>
    <row r="37" spans="1:16" x14ac:dyDescent="0.6">
      <c r="A37" s="954" t="s">
        <v>179</v>
      </c>
      <c r="B37" s="958"/>
      <c r="C37" s="506">
        <f>C98+C148+C179</f>
        <v>0</v>
      </c>
      <c r="D37" s="506">
        <f>D98+D148+D179</f>
        <v>58</v>
      </c>
      <c r="E37" s="50">
        <v>202.32558139534882</v>
      </c>
      <c r="F37" s="50">
        <v>1194.81</v>
      </c>
      <c r="G37" s="50">
        <v>1673</v>
      </c>
      <c r="H37" s="50">
        <v>3202</v>
      </c>
      <c r="I37" s="506">
        <f>I98+I148+I179</f>
        <v>5115.5955553122285</v>
      </c>
      <c r="J37" s="506">
        <f t="shared" ref="J37:O37" si="22">J98+J148+J179</f>
        <v>7120.1529412615355</v>
      </c>
      <c r="K37" s="506">
        <f t="shared" si="22"/>
        <v>9275.6117367715942</v>
      </c>
      <c r="L37" s="506">
        <f t="shared" si="22"/>
        <v>11794.858215714314</v>
      </c>
      <c r="M37" s="506">
        <f t="shared" si="22"/>
        <v>14389.587426944578</v>
      </c>
      <c r="N37" s="506">
        <f t="shared" si="22"/>
        <v>16526.910438636209</v>
      </c>
      <c r="O37" s="506">
        <f t="shared" si="22"/>
        <v>18591.990974353841</v>
      </c>
    </row>
    <row r="38" spans="1:16" x14ac:dyDescent="0.6">
      <c r="A38" s="955" t="s">
        <v>974</v>
      </c>
      <c r="B38" s="958"/>
      <c r="C38" s="972"/>
      <c r="D38" s="967"/>
      <c r="E38" s="967">
        <f t="shared" ref="E38:O38" si="23">E37/D37-1</f>
        <v>2.4883720930232553</v>
      </c>
      <c r="F38" s="967">
        <f t="shared" si="23"/>
        <v>4.9053827586206902</v>
      </c>
      <c r="G38" s="967">
        <f t="shared" si="23"/>
        <v>0.40022262953942467</v>
      </c>
      <c r="H38" s="967">
        <f t="shared" si="23"/>
        <v>0.91392707710699339</v>
      </c>
      <c r="I38" s="967">
        <f t="shared" si="23"/>
        <v>0.59762509535047736</v>
      </c>
      <c r="J38" s="967">
        <f t="shared" si="23"/>
        <v>0.39185220259793585</v>
      </c>
      <c r="K38" s="967">
        <f t="shared" si="23"/>
        <v>0.3027264741771345</v>
      </c>
      <c r="L38" s="967">
        <f t="shared" si="23"/>
        <v>0.27159895761436337</v>
      </c>
      <c r="M38" s="967">
        <f t="shared" si="23"/>
        <v>0.21998816465409488</v>
      </c>
      <c r="N38" s="967">
        <f t="shared" si="23"/>
        <v>0.14853261238675142</v>
      </c>
      <c r="O38" s="967">
        <f t="shared" si="23"/>
        <v>0.12495260644058059</v>
      </c>
    </row>
    <row r="39" spans="1:16" x14ac:dyDescent="0.6">
      <c r="A39" s="954" t="s">
        <v>255</v>
      </c>
      <c r="B39" s="958"/>
      <c r="C39" s="506">
        <f>C102+C151+C181</f>
        <v>1623.8</v>
      </c>
      <c r="D39" s="506">
        <f>D102+D151+D181</f>
        <v>2786.5</v>
      </c>
      <c r="E39" s="50">
        <v>2908.9</v>
      </c>
      <c r="F39" s="50">
        <v>4780.5</v>
      </c>
      <c r="G39" s="50">
        <v>8233</v>
      </c>
      <c r="H39" s="50">
        <v>12414</v>
      </c>
      <c r="I39" s="506">
        <f>I102+I151+I182</f>
        <v>13815.930217466615</v>
      </c>
      <c r="J39" s="506">
        <f>J102+J151+J182</f>
        <v>17490.813710703274</v>
      </c>
      <c r="K39" s="506">
        <f t="shared" ref="K39:O39" si="24">K102+K151+K182</f>
        <v>21805.308328756375</v>
      </c>
      <c r="L39" s="506">
        <f t="shared" si="24"/>
        <v>25921.98551539487</v>
      </c>
      <c r="M39" s="506">
        <f t="shared" si="24"/>
        <v>29918.191918067936</v>
      </c>
      <c r="N39" s="506">
        <f t="shared" si="24"/>
        <v>33867.440667896975</v>
      </c>
      <c r="O39" s="506">
        <f t="shared" si="24"/>
        <v>37995.513584698449</v>
      </c>
    </row>
    <row r="40" spans="1:16" x14ac:dyDescent="0.6">
      <c r="A40" s="955" t="s">
        <v>974</v>
      </c>
      <c r="B40" s="958"/>
      <c r="C40" s="972"/>
      <c r="D40" s="967"/>
      <c r="E40" s="967">
        <f t="shared" ref="E40:O40" si="25">E39/D39-1</f>
        <v>4.392607213350086E-2</v>
      </c>
      <c r="F40" s="967">
        <f t="shared" si="25"/>
        <v>0.64340472343497535</v>
      </c>
      <c r="G40" s="967">
        <f t="shared" si="25"/>
        <v>0.72220479029390239</v>
      </c>
      <c r="H40" s="967">
        <f t="shared" si="25"/>
        <v>0.50783432527632688</v>
      </c>
      <c r="I40" s="967">
        <f t="shared" si="25"/>
        <v>0.11293138532838864</v>
      </c>
      <c r="J40" s="967">
        <f t="shared" si="25"/>
        <v>0.26598885745606426</v>
      </c>
      <c r="K40" s="967">
        <f t="shared" si="25"/>
        <v>0.24667203535607385</v>
      </c>
      <c r="L40" s="967">
        <f t="shared" si="25"/>
        <v>0.18879243185062</v>
      </c>
      <c r="M40" s="967">
        <f t="shared" si="25"/>
        <v>0.154162820602602</v>
      </c>
      <c r="N40" s="967">
        <f t="shared" si="25"/>
        <v>0.13200158487665981</v>
      </c>
      <c r="O40" s="967">
        <f t="shared" si="25"/>
        <v>0.1218891311357484</v>
      </c>
    </row>
    <row r="41" spans="1:16" x14ac:dyDescent="0.6">
      <c r="A41" s="1034" t="s">
        <v>419</v>
      </c>
      <c r="B41" s="958"/>
      <c r="C41" s="972"/>
      <c r="D41" s="967"/>
      <c r="E41" s="967"/>
      <c r="F41" s="967"/>
      <c r="G41" s="967"/>
      <c r="H41" s="967"/>
      <c r="I41" s="506">
        <f t="shared" ref="I41:O41" si="26">I111</f>
        <v>160.2355503920999</v>
      </c>
      <c r="J41" s="506">
        <f t="shared" si="26"/>
        <v>1249.8949317455706</v>
      </c>
      <c r="K41" s="506">
        <f t="shared" si="26"/>
        <v>3310.5116214057502</v>
      </c>
      <c r="L41" s="506">
        <f t="shared" si="26"/>
        <v>5282.6402937481844</v>
      </c>
      <c r="M41" s="506">
        <f t="shared" si="26"/>
        <v>6822.2754244408952</v>
      </c>
      <c r="N41" s="506">
        <f t="shared" si="26"/>
        <v>7791.6889304647129</v>
      </c>
      <c r="O41" s="506">
        <f t="shared" si="26"/>
        <v>8345.0086988970397</v>
      </c>
    </row>
    <row r="42" spans="1:16" x14ac:dyDescent="0.6">
      <c r="A42" s="954"/>
      <c r="B42" s="958"/>
      <c r="C42" s="97"/>
      <c r="D42" s="97"/>
      <c r="E42" s="97"/>
      <c r="F42" s="97"/>
      <c r="G42" s="243"/>
      <c r="H42" s="243">
        <f>H37+H41</f>
        <v>3202</v>
      </c>
      <c r="I42" s="243">
        <f t="shared" ref="I42:O42" si="27">I37+I41</f>
        <v>5275.8311057043284</v>
      </c>
      <c r="J42" s="243">
        <f t="shared" si="27"/>
        <v>8370.0478730071063</v>
      </c>
      <c r="K42" s="243">
        <f t="shared" si="27"/>
        <v>12586.123358177345</v>
      </c>
      <c r="L42" s="243">
        <f t="shared" si="27"/>
        <v>17077.498509462497</v>
      </c>
      <c r="M42" s="243">
        <f t="shared" si="27"/>
        <v>21211.862851385471</v>
      </c>
      <c r="N42" s="243">
        <f t="shared" si="27"/>
        <v>24318.599369100921</v>
      </c>
      <c r="O42" s="243">
        <f t="shared" si="27"/>
        <v>26936.999673250881</v>
      </c>
    </row>
    <row r="43" spans="1:16" x14ac:dyDescent="0.6">
      <c r="A43" s="954"/>
      <c r="B43" s="958"/>
      <c r="C43" s="97"/>
      <c r="D43" s="97"/>
      <c r="E43" s="97"/>
      <c r="F43" s="97"/>
      <c r="G43" s="243"/>
      <c r="H43" s="243"/>
      <c r="I43" s="243"/>
      <c r="J43" s="243"/>
      <c r="K43" s="243"/>
      <c r="L43" s="243"/>
      <c r="M43" s="243"/>
      <c r="N43" s="243"/>
      <c r="O43" s="243"/>
    </row>
    <row r="44" spans="1:16" x14ac:dyDescent="0.6">
      <c r="A44" s="1309" t="s">
        <v>763</v>
      </c>
      <c r="B44" s="958"/>
      <c r="C44" s="97"/>
      <c r="D44" s="97"/>
      <c r="E44" s="97"/>
      <c r="F44" s="50">
        <f>Quarts!K221</f>
        <v>2000</v>
      </c>
      <c r="G44" s="50">
        <f>Quarts!P221</f>
        <v>4000</v>
      </c>
      <c r="H44" s="50">
        <f>Quarts!U221</f>
        <v>8200</v>
      </c>
      <c r="I44" s="243"/>
      <c r="J44" s="243"/>
      <c r="K44" s="243"/>
      <c r="L44" s="243"/>
      <c r="M44" s="243"/>
      <c r="N44" s="243"/>
      <c r="O44" s="243"/>
    </row>
    <row r="45" spans="1:16" x14ac:dyDescent="0.6">
      <c r="A45" s="1309" t="s">
        <v>2410</v>
      </c>
      <c r="B45" s="958"/>
      <c r="C45" s="97"/>
      <c r="D45" s="97"/>
      <c r="E45" s="97"/>
      <c r="F45" s="97">
        <f>F44-F37</f>
        <v>805.19</v>
      </c>
      <c r="G45" s="97">
        <f t="shared" ref="G45:H45" si="28">G44-G37</f>
        <v>2327</v>
      </c>
      <c r="H45" s="97">
        <f t="shared" si="28"/>
        <v>4998</v>
      </c>
      <c r="I45" s="243"/>
      <c r="J45" s="243"/>
      <c r="K45" s="243"/>
      <c r="L45" s="243"/>
      <c r="M45" s="243"/>
      <c r="N45" s="243"/>
      <c r="O45" s="243"/>
    </row>
    <row r="46" spans="1:16" x14ac:dyDescent="0.6">
      <c r="A46" s="1309" t="s">
        <v>2411</v>
      </c>
      <c r="B46" s="958"/>
      <c r="C46" s="97"/>
      <c r="D46" s="97"/>
      <c r="E46" s="97"/>
      <c r="F46" s="894">
        <f>F45/F39</f>
        <v>0.16843217236690725</v>
      </c>
      <c r="G46" s="894">
        <f t="shared" ref="G46:H46" si="29">G45/G39</f>
        <v>0.28264302198469576</v>
      </c>
      <c r="H46" s="894">
        <f t="shared" si="29"/>
        <v>0.40260995650072501</v>
      </c>
      <c r="I46" s="243"/>
      <c r="J46" s="243"/>
      <c r="K46" s="243"/>
      <c r="L46" s="243"/>
      <c r="M46" s="243"/>
      <c r="N46" s="243"/>
      <c r="O46" s="243"/>
    </row>
    <row r="47" spans="1:16" x14ac:dyDescent="0.6">
      <c r="A47" s="954"/>
      <c r="B47" s="958"/>
      <c r="C47" s="97"/>
      <c r="D47" s="97"/>
      <c r="E47" s="97"/>
      <c r="F47" s="97"/>
      <c r="G47" s="243"/>
      <c r="H47" s="243"/>
      <c r="I47" s="243"/>
      <c r="J47" s="243"/>
      <c r="K47" s="243"/>
      <c r="L47" s="243"/>
      <c r="M47" s="243"/>
      <c r="N47" s="243"/>
      <c r="O47" s="243"/>
    </row>
    <row r="48" spans="1:16" x14ac:dyDescent="0.6">
      <c r="A48" s="952" t="s">
        <v>1311</v>
      </c>
      <c r="B48" s="958"/>
      <c r="C48" s="97"/>
      <c r="D48" s="97"/>
      <c r="E48" s="97"/>
      <c r="F48" s="243">
        <f>F50+F52</f>
        <v>6563.5249999999996</v>
      </c>
      <c r="G48" s="243">
        <f>G50+G52</f>
        <v>11257</v>
      </c>
      <c r="H48" s="506">
        <f>H50+H52</f>
        <v>18224</v>
      </c>
      <c r="I48" s="506">
        <f t="shared" ref="I48:O48" si="30">I50+I52+I54</f>
        <v>22432.618812484856</v>
      </c>
      <c r="J48" s="506">
        <f t="shared" si="30"/>
        <v>30229.481405653361</v>
      </c>
      <c r="K48" s="506">
        <f t="shared" si="30"/>
        <v>39943.861395452943</v>
      </c>
      <c r="L48" s="506">
        <f t="shared" si="30"/>
        <v>49763.206610051573</v>
      </c>
      <c r="M48" s="506">
        <f t="shared" si="30"/>
        <v>59088.304764570254</v>
      </c>
      <c r="N48" s="506">
        <f t="shared" si="30"/>
        <v>67238.174880309161</v>
      </c>
      <c r="O48" s="506">
        <f t="shared" si="30"/>
        <v>75088.84977423017</v>
      </c>
    </row>
    <row r="49" spans="1:15" x14ac:dyDescent="0.6">
      <c r="A49" s="955" t="s">
        <v>974</v>
      </c>
      <c r="B49" s="958"/>
      <c r="C49" s="97"/>
      <c r="D49" s="97"/>
      <c r="E49" s="97"/>
      <c r="F49" s="97"/>
      <c r="G49" s="377">
        <f>G48/F48-1</f>
        <v>0.71508450108744936</v>
      </c>
      <c r="H49" s="377">
        <f t="shared" ref="H49:O49" si="31">H48/G48-1</f>
        <v>0.61890379319534516</v>
      </c>
      <c r="I49" s="377">
        <f t="shared" si="31"/>
        <v>0.23093825792827349</v>
      </c>
      <c r="J49" s="377">
        <f t="shared" si="31"/>
        <v>0.34756809529653165</v>
      </c>
      <c r="K49" s="377">
        <f t="shared" si="31"/>
        <v>0.32135450355370132</v>
      </c>
      <c r="L49" s="377">
        <f t="shared" si="31"/>
        <v>0.24582864228835999</v>
      </c>
      <c r="M49" s="377">
        <f t="shared" si="31"/>
        <v>0.18738941458477321</v>
      </c>
      <c r="N49" s="377">
        <f t="shared" si="31"/>
        <v>0.13792695776619435</v>
      </c>
      <c r="O49" s="377">
        <f t="shared" si="31"/>
        <v>0.11675919085989483</v>
      </c>
    </row>
    <row r="50" spans="1:15" x14ac:dyDescent="0.6">
      <c r="A50" s="954" t="s">
        <v>179</v>
      </c>
      <c r="B50" s="958"/>
      <c r="C50" s="97"/>
      <c r="D50" s="97"/>
      <c r="E50" s="97"/>
      <c r="F50" s="243">
        <f>Quarts!K246</f>
        <v>1392.346</v>
      </c>
      <c r="G50" s="243">
        <f>Quarts!P246</f>
        <v>1973</v>
      </c>
      <c r="H50" s="243">
        <f>Quarts!U246</f>
        <v>3714</v>
      </c>
      <c r="I50" s="243">
        <f>I37/(1-I60)</f>
        <v>6018.3477121320338</v>
      </c>
      <c r="J50" s="243">
        <f t="shared" ref="J50:O50" si="32">J37/(1-J60)</f>
        <v>8376.650519131219</v>
      </c>
      <c r="K50" s="243">
        <f t="shared" si="32"/>
        <v>10912.484396201877</v>
      </c>
      <c r="L50" s="243">
        <f t="shared" si="32"/>
        <v>13876.303783193311</v>
      </c>
      <c r="M50" s="243">
        <f t="shared" si="32"/>
        <v>16928.926384640679</v>
      </c>
      <c r="N50" s="243">
        <f t="shared" si="32"/>
        <v>19443.424045454365</v>
      </c>
      <c r="O50" s="243">
        <f t="shared" si="32"/>
        <v>21872.930558063345</v>
      </c>
    </row>
    <row r="51" spans="1:15" x14ac:dyDescent="0.6">
      <c r="A51" s="955" t="s">
        <v>974</v>
      </c>
      <c r="B51" s="958"/>
      <c r="C51" s="97"/>
      <c r="D51" s="97"/>
      <c r="E51" s="97"/>
      <c r="F51" s="97"/>
      <c r="G51" s="377">
        <f>G50/F50-1</f>
        <v>0.41703283522917434</v>
      </c>
      <c r="H51" s="377">
        <f t="shared" ref="H51:O51" si="33">H50/G50-1</f>
        <v>0.88241256969082604</v>
      </c>
      <c r="I51" s="377">
        <f t="shared" si="33"/>
        <v>0.62044903396123696</v>
      </c>
      <c r="J51" s="377">
        <f t="shared" si="33"/>
        <v>0.39185220259793585</v>
      </c>
      <c r="K51" s="377">
        <f t="shared" si="33"/>
        <v>0.3027264741771345</v>
      </c>
      <c r="L51" s="377">
        <f t="shared" si="33"/>
        <v>0.27159895761436315</v>
      </c>
      <c r="M51" s="377">
        <f t="shared" si="33"/>
        <v>0.21998816465409488</v>
      </c>
      <c r="N51" s="377">
        <f t="shared" si="33"/>
        <v>0.14853261238675164</v>
      </c>
      <c r="O51" s="377">
        <f t="shared" si="33"/>
        <v>0.12495260644058059</v>
      </c>
    </row>
    <row r="52" spans="1:15" x14ac:dyDescent="0.6">
      <c r="A52" s="954" t="s">
        <v>255</v>
      </c>
      <c r="B52" s="958"/>
      <c r="C52" s="97"/>
      <c r="D52" s="97"/>
      <c r="E52" s="97"/>
      <c r="F52" s="243">
        <f>Quarts!K245</f>
        <v>5171.1790000000001</v>
      </c>
      <c r="G52" s="243">
        <f>Quarts!P245</f>
        <v>9284</v>
      </c>
      <c r="H52" s="243">
        <f>Quarts!U245</f>
        <v>14510</v>
      </c>
      <c r="I52" s="243">
        <f>I39/(1-I62)</f>
        <v>16254.035549960725</v>
      </c>
      <c r="J52" s="243">
        <f t="shared" ref="J52:O52" si="34">J39/(1-J62)</f>
        <v>20577.427894945031</v>
      </c>
      <c r="K52" s="243">
        <f t="shared" si="34"/>
        <v>25653.30391618397</v>
      </c>
      <c r="L52" s="243">
        <f t="shared" si="34"/>
        <v>30496.453547523379</v>
      </c>
      <c r="M52" s="243">
        <f t="shared" si="34"/>
        <v>35197.872844785808</v>
      </c>
      <c r="N52" s="243">
        <f t="shared" si="34"/>
        <v>39844.047844584675</v>
      </c>
      <c r="O52" s="243">
        <f t="shared" si="34"/>
        <v>44700.604217292297</v>
      </c>
    </row>
    <row r="53" spans="1:15" x14ac:dyDescent="0.6">
      <c r="A53" s="955" t="s">
        <v>974</v>
      </c>
      <c r="B53" s="958"/>
      <c r="C53" s="97"/>
      <c r="D53" s="97"/>
      <c r="E53" s="97"/>
      <c r="F53" s="97"/>
      <c r="G53" s="377">
        <f>G52/F52-1</f>
        <v>0.79533526106909069</v>
      </c>
      <c r="H53" s="377">
        <f t="shared" ref="H53:O53" si="35">H52/G52-1</f>
        <v>0.562903920723826</v>
      </c>
      <c r="I53" s="377">
        <f t="shared" si="35"/>
        <v>0.12019542039701747</v>
      </c>
      <c r="J53" s="377">
        <f t="shared" si="35"/>
        <v>0.26598885745606426</v>
      </c>
      <c r="K53" s="377">
        <f t="shared" si="35"/>
        <v>0.24667203535607385</v>
      </c>
      <c r="L53" s="377">
        <f t="shared" si="35"/>
        <v>0.18879243185062022</v>
      </c>
      <c r="M53" s="377">
        <f t="shared" si="35"/>
        <v>0.154162820602602</v>
      </c>
      <c r="N53" s="377">
        <f t="shared" si="35"/>
        <v>0.13200158487665958</v>
      </c>
      <c r="O53" s="377">
        <f t="shared" si="35"/>
        <v>0.12188913113574862</v>
      </c>
    </row>
    <row r="54" spans="1:15" x14ac:dyDescent="0.6">
      <c r="A54" s="1034" t="s">
        <v>419</v>
      </c>
      <c r="B54" s="958"/>
      <c r="C54" s="97"/>
      <c r="D54" s="97"/>
      <c r="E54" s="97"/>
      <c r="F54" s="97"/>
      <c r="G54" s="377"/>
      <c r="H54" s="243">
        <f t="shared" ref="H54:O54" si="36">H41/(1-H64)</f>
        <v>0</v>
      </c>
      <c r="I54" s="243">
        <f t="shared" si="36"/>
        <v>160.2355503920999</v>
      </c>
      <c r="J54" s="243">
        <f t="shared" si="36"/>
        <v>1275.402991577113</v>
      </c>
      <c r="K54" s="243">
        <f t="shared" si="36"/>
        <v>3378.0730830670923</v>
      </c>
      <c r="L54" s="243">
        <f t="shared" si="36"/>
        <v>5390.4492793348818</v>
      </c>
      <c r="M54" s="243">
        <f t="shared" si="36"/>
        <v>6961.5055351437704</v>
      </c>
      <c r="N54" s="243">
        <f t="shared" si="36"/>
        <v>7950.7029902701152</v>
      </c>
      <c r="O54" s="243">
        <f t="shared" si="36"/>
        <v>8515.3149988745299</v>
      </c>
    </row>
    <row r="55" spans="1:15" x14ac:dyDescent="0.6">
      <c r="A55" s="954"/>
      <c r="B55" s="958"/>
      <c r="C55" s="97"/>
      <c r="D55" s="97"/>
      <c r="E55" s="97"/>
      <c r="F55" s="97"/>
      <c r="G55" s="243"/>
      <c r="H55" s="377"/>
      <c r="I55" s="377"/>
      <c r="J55" s="377">
        <f t="shared" ref="J55:O55" si="37">J54/I54-1</f>
        <v>6.959550726765527</v>
      </c>
      <c r="K55" s="377">
        <f t="shared" si="37"/>
        <v>1.6486319268311425</v>
      </c>
      <c r="L55" s="377">
        <f t="shared" si="37"/>
        <v>0.59571718751586933</v>
      </c>
      <c r="M55" s="377">
        <f t="shared" si="37"/>
        <v>0.29145182050627483</v>
      </c>
      <c r="N55" s="377">
        <f t="shared" si="37"/>
        <v>0.14209533413894149</v>
      </c>
      <c r="O55" s="377">
        <f t="shared" si="37"/>
        <v>7.1014098916205803E-2</v>
      </c>
    </row>
    <row r="56" spans="1:15" x14ac:dyDescent="0.6">
      <c r="A56" s="954"/>
      <c r="B56" s="958"/>
      <c r="C56" s="97"/>
      <c r="D56" s="97"/>
      <c r="E56" s="97"/>
      <c r="F56" s="97"/>
      <c r="G56" s="243"/>
      <c r="H56" s="243"/>
      <c r="I56" s="243"/>
      <c r="J56" s="243"/>
      <c r="K56" s="243"/>
      <c r="L56" s="243"/>
      <c r="M56" s="243"/>
      <c r="N56" s="243"/>
      <c r="O56" s="243"/>
    </row>
    <row r="57" spans="1:15" x14ac:dyDescent="0.6">
      <c r="A57" s="952" t="s">
        <v>1312</v>
      </c>
      <c r="B57" s="958"/>
      <c r="C57" s="97"/>
      <c r="D57" s="97"/>
      <c r="E57" s="97"/>
      <c r="F57" s="97">
        <f>F48-F35</f>
        <v>588.21500000000015</v>
      </c>
      <c r="G57" s="97">
        <f>G48-G35</f>
        <v>1351</v>
      </c>
      <c r="H57" s="97">
        <f>H48-H35</f>
        <v>2608</v>
      </c>
      <c r="I57" s="243">
        <f t="shared" ref="I57:O57" si="38">I59+I61+I63</f>
        <v>3340.8574893139148</v>
      </c>
      <c r="J57" s="243">
        <f t="shared" si="38"/>
        <v>4368.6198219429825</v>
      </c>
      <c r="K57" s="243">
        <f t="shared" si="38"/>
        <v>5552.4297085192193</v>
      </c>
      <c r="L57" s="243">
        <f t="shared" si="38"/>
        <v>6763.722585194203</v>
      </c>
      <c r="M57" s="243">
        <f t="shared" si="38"/>
        <v>7958.2499951168493</v>
      </c>
      <c r="N57" s="243">
        <f t="shared" si="38"/>
        <v>9052.134843311258</v>
      </c>
      <c r="O57" s="243">
        <f t="shared" si="38"/>
        <v>10156.336516280842</v>
      </c>
    </row>
    <row r="58" spans="1:15" x14ac:dyDescent="0.6">
      <c r="A58" s="952" t="s">
        <v>1313</v>
      </c>
      <c r="B58" s="958"/>
      <c r="C58" s="97"/>
      <c r="D58" s="97"/>
      <c r="E58" s="97"/>
      <c r="F58" s="377">
        <f>F57/F48</f>
        <v>8.961876430728917E-2</v>
      </c>
      <c r="G58" s="377">
        <f>G57/G48</f>
        <v>0.12001421337834237</v>
      </c>
      <c r="H58" s="377">
        <f>H57/H48</f>
        <v>0.1431079894644425</v>
      </c>
      <c r="I58" s="377">
        <f t="shared" ref="I58:O58" si="39">I57/I48</f>
        <v>0.14892855431816829</v>
      </c>
      <c r="J58" s="377">
        <f t="shared" si="39"/>
        <v>0.1445152089551224</v>
      </c>
      <c r="K58" s="377">
        <f t="shared" si="39"/>
        <v>0.13900583254956134</v>
      </c>
      <c r="L58" s="377">
        <f t="shared" si="39"/>
        <v>0.13591814205614339</v>
      </c>
      <c r="M58" s="377">
        <f t="shared" si="39"/>
        <v>0.13468401279788736</v>
      </c>
      <c r="N58" s="377">
        <f t="shared" si="39"/>
        <v>0.13462790831882313</v>
      </c>
      <c r="O58" s="377">
        <f t="shared" si="39"/>
        <v>0.1352575854713173</v>
      </c>
    </row>
    <row r="59" spans="1:15" x14ac:dyDescent="0.6">
      <c r="A59" s="952" t="str">
        <f>A50</f>
        <v>Personal Loans</v>
      </c>
      <c r="B59" s="958"/>
      <c r="C59" s="97"/>
      <c r="D59" s="97"/>
      <c r="E59" s="97"/>
      <c r="F59" s="97">
        <f>F50-F37</f>
        <v>197.53600000000006</v>
      </c>
      <c r="G59" s="97">
        <f>G50-G37</f>
        <v>300</v>
      </c>
      <c r="H59" s="243">
        <f>H50-H37</f>
        <v>512</v>
      </c>
      <c r="I59" s="243">
        <f>I50-I37</f>
        <v>902.75215681980535</v>
      </c>
      <c r="J59" s="243">
        <f t="shared" ref="J59:O59" si="40">J50-J37</f>
        <v>1256.4975778696835</v>
      </c>
      <c r="K59" s="243">
        <f t="shared" si="40"/>
        <v>1636.8726594302825</v>
      </c>
      <c r="L59" s="243">
        <f t="shared" si="40"/>
        <v>2081.445567478997</v>
      </c>
      <c r="M59" s="243">
        <f t="shared" si="40"/>
        <v>2539.3389576961017</v>
      </c>
      <c r="N59" s="243">
        <f t="shared" si="40"/>
        <v>2916.5136068181564</v>
      </c>
      <c r="O59" s="243">
        <f t="shared" si="40"/>
        <v>3280.9395837095035</v>
      </c>
    </row>
    <row r="60" spans="1:15" x14ac:dyDescent="0.6">
      <c r="A60" s="952" t="s">
        <v>1313</v>
      </c>
      <c r="B60" s="958"/>
      <c r="C60" s="97"/>
      <c r="D60" s="97"/>
      <c r="E60" s="97"/>
      <c r="F60" s="377">
        <f>F59/F50</f>
        <v>0.14187278162180955</v>
      </c>
      <c r="G60" s="377">
        <f>G59/G50</f>
        <v>0.15205271160669032</v>
      </c>
      <c r="H60" s="377">
        <f>H59/H50</f>
        <v>0.13785675821217017</v>
      </c>
      <c r="I60" s="1006">
        <v>0.15</v>
      </c>
      <c r="J60" s="1006">
        <v>0.15</v>
      </c>
      <c r="K60" s="1006">
        <v>0.15</v>
      </c>
      <c r="L60" s="1006">
        <v>0.15</v>
      </c>
      <c r="M60" s="1006">
        <v>0.15</v>
      </c>
      <c r="N60" s="1006">
        <v>0.15</v>
      </c>
      <c r="O60" s="1006">
        <v>0.15</v>
      </c>
    </row>
    <row r="61" spans="1:15" x14ac:dyDescent="0.6">
      <c r="A61" s="952" t="str">
        <f>A52</f>
        <v>Credit card loan portfolio</v>
      </c>
      <c r="B61" s="958"/>
      <c r="C61" s="97"/>
      <c r="D61" s="97"/>
      <c r="E61" s="97"/>
      <c r="F61" s="97">
        <f>F52-F39</f>
        <v>390.67900000000009</v>
      </c>
      <c r="G61" s="97">
        <f>G52-G39</f>
        <v>1051</v>
      </c>
      <c r="H61" s="243">
        <f>H52-H39</f>
        <v>2096</v>
      </c>
      <c r="I61" s="243">
        <f t="shared" ref="I61:O61" si="41">I52-I39</f>
        <v>2438.1053324941095</v>
      </c>
      <c r="J61" s="243">
        <f t="shared" si="41"/>
        <v>3086.6141842417564</v>
      </c>
      <c r="K61" s="243">
        <f t="shared" si="41"/>
        <v>3847.9955874275947</v>
      </c>
      <c r="L61" s="243">
        <f t="shared" si="41"/>
        <v>4574.4680321285086</v>
      </c>
      <c r="M61" s="243">
        <f t="shared" si="41"/>
        <v>5279.6809267178724</v>
      </c>
      <c r="N61" s="243">
        <f t="shared" si="41"/>
        <v>5976.6071766876994</v>
      </c>
      <c r="O61" s="243">
        <f t="shared" si="41"/>
        <v>6705.0906325938486</v>
      </c>
    </row>
    <row r="62" spans="1:15" x14ac:dyDescent="0.6">
      <c r="A62" s="952" t="s">
        <v>1313</v>
      </c>
      <c r="B62" s="958"/>
      <c r="C62" s="97"/>
      <c r="D62" s="97"/>
      <c r="E62" s="97"/>
      <c r="F62" s="377">
        <f>F61/F52</f>
        <v>7.5549308968032261E-2</v>
      </c>
      <c r="G62" s="377">
        <f>G61/G52</f>
        <v>0.11320551486428264</v>
      </c>
      <c r="H62" s="377">
        <f>H61/H52</f>
        <v>0.14445210199862163</v>
      </c>
      <c r="I62" s="1006">
        <v>0.15</v>
      </c>
      <c r="J62" s="1006">
        <v>0.15</v>
      </c>
      <c r="K62" s="1006">
        <v>0.15</v>
      </c>
      <c r="L62" s="1006">
        <v>0.15</v>
      </c>
      <c r="M62" s="1006">
        <v>0.15</v>
      </c>
      <c r="N62" s="1006">
        <v>0.15</v>
      </c>
      <c r="O62" s="1006">
        <v>0.15</v>
      </c>
    </row>
    <row r="63" spans="1:15" x14ac:dyDescent="0.6">
      <c r="A63" s="1035" t="s">
        <v>419</v>
      </c>
      <c r="B63" s="958"/>
      <c r="C63" s="97"/>
      <c r="D63" s="97"/>
      <c r="E63" s="97"/>
      <c r="F63" s="97"/>
      <c r="G63" s="97"/>
      <c r="H63" s="243"/>
      <c r="I63" s="243">
        <f t="shared" ref="I63:O63" si="42">I54-I41</f>
        <v>0</v>
      </c>
      <c r="J63" s="243">
        <f t="shared" si="42"/>
        <v>25.508059831542369</v>
      </c>
      <c r="K63" s="243">
        <f t="shared" si="42"/>
        <v>67.561461661342037</v>
      </c>
      <c r="L63" s="243">
        <f t="shared" si="42"/>
        <v>107.80898558669742</v>
      </c>
      <c r="M63" s="243">
        <f t="shared" si="42"/>
        <v>139.23011070287521</v>
      </c>
      <c r="N63" s="243">
        <f t="shared" si="42"/>
        <v>159.01405980540221</v>
      </c>
      <c r="O63" s="243">
        <f t="shared" si="42"/>
        <v>170.3062999774902</v>
      </c>
    </row>
    <row r="64" spans="1:15" x14ac:dyDescent="0.6">
      <c r="A64" s="952" t="s">
        <v>1313</v>
      </c>
      <c r="B64" s="958"/>
      <c r="C64" s="97"/>
      <c r="D64" s="97"/>
      <c r="E64" s="97"/>
      <c r="F64" s="377"/>
      <c r="G64" s="377"/>
      <c r="H64" s="1006"/>
      <c r="I64" s="1006">
        <v>0</v>
      </c>
      <c r="J64" s="1006">
        <v>0.02</v>
      </c>
      <c r="K64" s="1006">
        <v>0.02</v>
      </c>
      <c r="L64" s="1006">
        <v>0.02</v>
      </c>
      <c r="M64" s="1006">
        <v>0.02</v>
      </c>
      <c r="N64" s="1006">
        <v>0.02</v>
      </c>
      <c r="O64" s="1006">
        <v>0.02</v>
      </c>
    </row>
    <row r="65" spans="1:15" x14ac:dyDescent="0.6">
      <c r="A65" s="954"/>
      <c r="B65" s="958"/>
      <c r="C65" s="97"/>
      <c r="D65" s="97"/>
      <c r="E65" s="97"/>
      <c r="F65" s="97"/>
      <c r="G65" s="243"/>
      <c r="H65" s="377"/>
      <c r="I65" s="243"/>
      <c r="J65" s="243"/>
      <c r="K65" s="243"/>
      <c r="L65" s="243"/>
      <c r="M65" s="243"/>
      <c r="N65" s="243"/>
      <c r="O65" s="243"/>
    </row>
    <row r="66" spans="1:15" x14ac:dyDescent="0.6">
      <c r="A66" s="1306" t="s">
        <v>2404</v>
      </c>
      <c r="B66" s="958"/>
      <c r="C66" s="97"/>
      <c r="D66" s="97"/>
      <c r="E66" s="97"/>
      <c r="F66" s="97"/>
      <c r="G66" s="243"/>
      <c r="H66" s="377"/>
      <c r="I66" s="243"/>
      <c r="J66" s="243"/>
      <c r="K66" s="243"/>
      <c r="L66" s="243"/>
      <c r="M66" s="243"/>
      <c r="N66" s="243"/>
      <c r="O66" s="243"/>
    </row>
    <row r="67" spans="1:15" x14ac:dyDescent="0.6">
      <c r="A67" s="952" t="s">
        <v>857</v>
      </c>
      <c r="B67" s="958"/>
      <c r="C67" s="972">
        <f>C69+C71</f>
        <v>6291.9002399999999</v>
      </c>
      <c r="D67" s="972">
        <f>D69+D71</f>
        <v>11465.326150000001</v>
      </c>
      <c r="E67" s="972">
        <f>E35*Macro!F$4</f>
        <v>17362.194356976743</v>
      </c>
      <c r="F67" s="972">
        <f>F35*Macro!G$4</f>
        <v>30593.587199999998</v>
      </c>
      <c r="G67" s="972">
        <f>G35*Macro!H$4</f>
        <v>48143.16</v>
      </c>
      <c r="H67" s="972">
        <f>H35*Macro!I$4</f>
        <v>85888</v>
      </c>
      <c r="I67" s="972">
        <f>I35*Macro!J$4</f>
        <v>105004.68727744019</v>
      </c>
      <c r="J67" s="972">
        <f>J35*Macro!K$4</f>
        <v>142234.73871040708</v>
      </c>
      <c r="K67" s="972">
        <f>K35*Macro!L$4</f>
        <v>189152.87427813545</v>
      </c>
      <c r="L67" s="972">
        <f>L35*Macro!M$4</f>
        <v>236497.16213671552</v>
      </c>
      <c r="M67" s="972">
        <f>M35*Macro!N$4</f>
        <v>281215.30123199377</v>
      </c>
      <c r="N67" s="972">
        <f>N35*Macro!O$4</f>
        <v>320023.22020348842</v>
      </c>
      <c r="O67" s="972">
        <f>O35*Macro!P$4</f>
        <v>0</v>
      </c>
    </row>
    <row r="68" spans="1:15" x14ac:dyDescent="0.6">
      <c r="A68" s="955" t="s">
        <v>974</v>
      </c>
      <c r="B68" s="958"/>
      <c r="C68" s="972"/>
      <c r="D68" s="967">
        <f t="shared" ref="D68:O68" si="43">D67/C67-1</f>
        <v>0.82223584492178814</v>
      </c>
      <c r="E68" s="967">
        <f t="shared" si="43"/>
        <v>0.51432188930593492</v>
      </c>
      <c r="F68" s="967">
        <f t="shared" si="43"/>
        <v>0.76208067776331601</v>
      </c>
      <c r="G68" s="967">
        <f t="shared" si="43"/>
        <v>0.57363566701978663</v>
      </c>
      <c r="H68" s="967">
        <f t="shared" si="43"/>
        <v>0.78401251600435029</v>
      </c>
      <c r="I68" s="967">
        <f t="shared" si="43"/>
        <v>0.22257692899404091</v>
      </c>
      <c r="J68" s="967">
        <f t="shared" si="43"/>
        <v>0.35455609076382255</v>
      </c>
      <c r="K68" s="967">
        <f t="shared" si="43"/>
        <v>0.32986411050576536</v>
      </c>
      <c r="L68" s="967">
        <f t="shared" si="43"/>
        <v>0.25029642314059553</v>
      </c>
      <c r="M68" s="967">
        <f t="shared" si="43"/>
        <v>0.18908530948640889</v>
      </c>
      <c r="N68" s="967">
        <f t="shared" si="43"/>
        <v>0.13800073751847286</v>
      </c>
      <c r="O68" s="967">
        <f t="shared" si="43"/>
        <v>-1</v>
      </c>
    </row>
    <row r="69" spans="1:15" x14ac:dyDescent="0.6">
      <c r="A69" s="954" t="s">
        <v>179</v>
      </c>
      <c r="B69" s="958"/>
      <c r="C69" s="506">
        <f>C115</f>
        <v>0</v>
      </c>
      <c r="D69" s="506">
        <f t="shared" ref="D69" si="44">D115</f>
        <v>233.78060000000002</v>
      </c>
      <c r="E69" s="972">
        <f>E37*Macro!F$4</f>
        <v>1129.0779069767441</v>
      </c>
      <c r="F69" s="972">
        <f>F37*Macro!G$4</f>
        <v>6117.4272000000001</v>
      </c>
      <c r="G69" s="972">
        <f>G37*Macro!H$4</f>
        <v>8130.7800000000007</v>
      </c>
      <c r="H69" s="972">
        <f>H37*Macro!I$4</f>
        <v>17611</v>
      </c>
      <c r="I69" s="972">
        <f>I37*Macro!J$4</f>
        <v>28135.775554217256</v>
      </c>
      <c r="J69" s="972">
        <f>J37*Macro!K$4</f>
        <v>39160.841176938447</v>
      </c>
      <c r="K69" s="972">
        <f>K37*Macro!L$4</f>
        <v>51015.864552243766</v>
      </c>
      <c r="L69" s="972">
        <f>L37*Macro!M$4</f>
        <v>64871.720186428727</v>
      </c>
      <c r="M69" s="972">
        <f>M37*Macro!N$4</f>
        <v>79142.730848195177</v>
      </c>
      <c r="N69" s="972">
        <f>N37*Macro!O$4</f>
        <v>90898.007412499152</v>
      </c>
      <c r="O69" s="972">
        <f>O37*Macro!P$4</f>
        <v>0</v>
      </c>
    </row>
    <row r="70" spans="1:15" x14ac:dyDescent="0.6">
      <c r="A70" s="955" t="s">
        <v>974</v>
      </c>
      <c r="B70" s="958"/>
      <c r="C70" s="972"/>
      <c r="D70" s="967"/>
      <c r="E70" s="967">
        <f t="shared" ref="E70:O70" si="45">E69/D69-1</f>
        <v>3.8296475711703364</v>
      </c>
      <c r="F70" s="967">
        <f t="shared" si="45"/>
        <v>4.4180735998813612</v>
      </c>
      <c r="G70" s="967">
        <f t="shared" si="45"/>
        <v>0.32911757413312581</v>
      </c>
      <c r="H70" s="967">
        <f t="shared" si="45"/>
        <v>1.1659668568083257</v>
      </c>
      <c r="I70" s="967">
        <f t="shared" si="45"/>
        <v>0.59762509535047736</v>
      </c>
      <c r="J70" s="967">
        <f t="shared" si="45"/>
        <v>0.39185220259793585</v>
      </c>
      <c r="K70" s="967">
        <f t="shared" si="45"/>
        <v>0.3027264741771345</v>
      </c>
      <c r="L70" s="967">
        <f t="shared" si="45"/>
        <v>0.27159895761436337</v>
      </c>
      <c r="M70" s="967">
        <f t="shared" si="45"/>
        <v>0.21998816465409488</v>
      </c>
      <c r="N70" s="967">
        <f t="shared" si="45"/>
        <v>0.14853261238675142</v>
      </c>
      <c r="O70" s="967">
        <f t="shared" si="45"/>
        <v>-1</v>
      </c>
    </row>
    <row r="71" spans="1:15" x14ac:dyDescent="0.6">
      <c r="A71" s="954" t="s">
        <v>255</v>
      </c>
      <c r="B71" s="958"/>
      <c r="C71" s="506">
        <f>C117</f>
        <v>6291.9002399999999</v>
      </c>
      <c r="D71" s="506">
        <f t="shared" ref="D71" si="46">D117</f>
        <v>11231.545550000001</v>
      </c>
      <c r="E71" s="972">
        <f>E39*Macro!F$4</f>
        <v>16233.11645</v>
      </c>
      <c r="F71" s="972">
        <f>F39*Macro!G$4</f>
        <v>24476.16</v>
      </c>
      <c r="G71" s="972">
        <f>G39*Macro!H$4</f>
        <v>40012.380000000005</v>
      </c>
      <c r="H71" s="972">
        <f>H39*Macro!I$4</f>
        <v>68277</v>
      </c>
      <c r="I71" s="972">
        <f>I39*Macro!J$4</f>
        <v>75987.616196066389</v>
      </c>
      <c r="J71" s="972">
        <f>J39*Macro!K$4</f>
        <v>96199.475408868006</v>
      </c>
      <c r="K71" s="972">
        <f>K39*Macro!L$4</f>
        <v>119929.19580816006</v>
      </c>
      <c r="L71" s="972">
        <f>L39*Macro!M$4</f>
        <v>142570.9203346718</v>
      </c>
      <c r="M71" s="972">
        <f>M39*Macro!N$4</f>
        <v>164550.05554937365</v>
      </c>
      <c r="N71" s="972">
        <f>N39*Macro!O$4</f>
        <v>186270.92367343337</v>
      </c>
      <c r="O71" s="972">
        <f>O39*Macro!P$4</f>
        <v>0</v>
      </c>
    </row>
    <row r="72" spans="1:15" x14ac:dyDescent="0.6">
      <c r="A72" s="955" t="s">
        <v>974</v>
      </c>
      <c r="B72" s="958"/>
      <c r="C72" s="972"/>
      <c r="D72" s="967"/>
      <c r="E72" s="967">
        <f t="shared" ref="E72:O72" si="47">E71/D71-1</f>
        <v>0.44531457204480618</v>
      </c>
      <c r="F72" s="967">
        <f t="shared" si="47"/>
        <v>0.50779180790020151</v>
      </c>
      <c r="G72" s="967">
        <f t="shared" si="47"/>
        <v>0.63474907828679039</v>
      </c>
      <c r="H72" s="967">
        <f t="shared" si="47"/>
        <v>0.70639687016868269</v>
      </c>
      <c r="I72" s="967">
        <f t="shared" si="47"/>
        <v>0.11293138532838864</v>
      </c>
      <c r="J72" s="967">
        <f t="shared" si="47"/>
        <v>0.26598885745606426</v>
      </c>
      <c r="K72" s="967">
        <f t="shared" si="47"/>
        <v>0.24667203535607385</v>
      </c>
      <c r="L72" s="967">
        <f t="shared" si="47"/>
        <v>0.18879243185062022</v>
      </c>
      <c r="M72" s="967">
        <f t="shared" si="47"/>
        <v>0.15416282060260178</v>
      </c>
      <c r="N72" s="967">
        <f t="shared" si="47"/>
        <v>0.13200158487665981</v>
      </c>
      <c r="O72" s="967">
        <f t="shared" si="47"/>
        <v>-1</v>
      </c>
    </row>
    <row r="73" spans="1:15" x14ac:dyDescent="0.6">
      <c r="A73" s="955"/>
      <c r="B73" s="958"/>
      <c r="C73" s="972"/>
      <c r="D73" s="967"/>
      <c r="E73" s="967"/>
      <c r="F73" s="967"/>
      <c r="G73" s="967"/>
      <c r="H73" s="967"/>
      <c r="I73" s="967"/>
      <c r="J73" s="967"/>
      <c r="K73" s="967"/>
      <c r="L73" s="967"/>
      <c r="M73" s="967"/>
      <c r="N73" s="967"/>
      <c r="O73" s="967"/>
    </row>
    <row r="74" spans="1:15" x14ac:dyDescent="0.6">
      <c r="A74" s="955"/>
      <c r="B74" s="958"/>
      <c r="C74" s="972"/>
      <c r="D74" s="967"/>
      <c r="E74" s="967"/>
      <c r="F74" s="967"/>
      <c r="G74" s="967"/>
      <c r="H74" s="967"/>
      <c r="I74" s="967"/>
      <c r="J74" s="967"/>
      <c r="K74" s="967"/>
      <c r="L74" s="967"/>
      <c r="M74" s="967"/>
      <c r="N74" s="967"/>
      <c r="O74" s="967"/>
    </row>
    <row r="75" spans="1:15" x14ac:dyDescent="0.6">
      <c r="A75" s="954"/>
      <c r="B75" s="958"/>
      <c r="C75" s="97"/>
      <c r="D75" s="97"/>
      <c r="E75" s="97"/>
      <c r="F75" s="97"/>
      <c r="G75" s="243"/>
      <c r="H75" s="243"/>
      <c r="I75" s="243"/>
      <c r="J75" s="243"/>
      <c r="K75" s="243"/>
      <c r="L75" s="243"/>
      <c r="M75" s="243"/>
      <c r="N75" s="243"/>
      <c r="O75" s="243"/>
    </row>
    <row r="76" spans="1:15" x14ac:dyDescent="0.6">
      <c r="A76" s="40" t="s">
        <v>228</v>
      </c>
      <c r="B76" s="952"/>
      <c r="C76" s="975"/>
      <c r="D76" s="975"/>
      <c r="E76" s="975"/>
      <c r="F76" s="975"/>
      <c r="G76" s="976"/>
      <c r="H76" s="976"/>
      <c r="I76" s="976"/>
      <c r="J76" s="976"/>
      <c r="K76" s="976"/>
      <c r="L76" s="976"/>
      <c r="M76" s="976"/>
      <c r="N76" s="976"/>
      <c r="O76" s="976"/>
    </row>
    <row r="77" spans="1:15" x14ac:dyDescent="0.6">
      <c r="A77" s="955" t="s">
        <v>305</v>
      </c>
      <c r="B77" s="170">
        <v>207.83382500000002</v>
      </c>
      <c r="C77" s="170">
        <v>209.46932000000001</v>
      </c>
      <c r="D77" s="170">
        <v>211.049519</v>
      </c>
      <c r="E77" s="170">
        <v>212.55940900000002</v>
      </c>
      <c r="F77" s="170">
        <v>213.99344099999999</v>
      </c>
      <c r="G77" s="170">
        <v>215.353588</v>
      </c>
      <c r="H77" s="170">
        <v>216.641839</v>
      </c>
      <c r="I77" s="170">
        <v>217.86303599999999</v>
      </c>
      <c r="J77" s="170">
        <v>219.02090799999999</v>
      </c>
      <c r="K77" s="170">
        <v>220.114734</v>
      </c>
      <c r="L77" s="170">
        <v>221.14280600000001</v>
      </c>
      <c r="M77" s="170">
        <v>222.10689099999999</v>
      </c>
      <c r="N77" s="170">
        <v>223.009378</v>
      </c>
      <c r="O77" s="170">
        <v>223.852116</v>
      </c>
    </row>
    <row r="78" spans="1:15" x14ac:dyDescent="0.6">
      <c r="A78" s="955" t="s">
        <v>440</v>
      </c>
      <c r="B78" s="962">
        <v>83</v>
      </c>
      <c r="C78" s="406">
        <v>98.838999999999999</v>
      </c>
      <c r="D78" s="406">
        <v>119.449</v>
      </c>
      <c r="E78" s="406">
        <v>133.75700000000001</v>
      </c>
      <c r="F78" s="957">
        <f t="shared" ref="F78:O78" si="48">F80*F81</f>
        <v>143.44877027453666</v>
      </c>
      <c r="G78" s="957">
        <f t="shared" si="48"/>
        <v>157.99345855483438</v>
      </c>
      <c r="H78" s="957">
        <f t="shared" si="48"/>
        <v>173.20919177704263</v>
      </c>
      <c r="I78" s="957">
        <f t="shared" si="48"/>
        <v>183.69314630589881</v>
      </c>
      <c r="J78" s="957">
        <f t="shared" si="48"/>
        <v>194.22753082896244</v>
      </c>
      <c r="K78" s="957">
        <f t="shared" si="48"/>
        <v>204.80338395405073</v>
      </c>
      <c r="L78" s="957">
        <f t="shared" si="48"/>
        <v>215.4106570142755</v>
      </c>
      <c r="M78" s="957">
        <f t="shared" si="48"/>
        <v>226.042539768621</v>
      </c>
      <c r="N78" s="957">
        <f t="shared" si="48"/>
        <v>236.69319059074971</v>
      </c>
      <c r="O78" s="957">
        <f t="shared" si="48"/>
        <v>247.35658817999999</v>
      </c>
    </row>
    <row r="79" spans="1:15" x14ac:dyDescent="0.6">
      <c r="A79" s="955" t="s">
        <v>272</v>
      </c>
      <c r="B79" s="977">
        <v>0.27</v>
      </c>
      <c r="C79" s="978">
        <f>C80/C77</f>
        <v>0.31456953536998483</v>
      </c>
      <c r="D79" s="978">
        <f>D80/D77</f>
        <v>0.36514592088571374</v>
      </c>
      <c r="E79" s="979">
        <f>E80/E77</f>
        <v>0.39329298756189141</v>
      </c>
      <c r="F79" s="979">
        <f t="shared" ref="F79:N79" si="49">($O79-$E79)/($O$1-$E$1)+E79</f>
        <v>0.41896368880570228</v>
      </c>
      <c r="G79" s="978">
        <f t="shared" si="49"/>
        <v>0.44463439004951316</v>
      </c>
      <c r="H79" s="978">
        <f t="shared" si="49"/>
        <v>0.47030509129332404</v>
      </c>
      <c r="I79" s="978">
        <f t="shared" si="49"/>
        <v>0.49597579253713492</v>
      </c>
      <c r="J79" s="978">
        <f t="shared" si="49"/>
        <v>0.52164649378094574</v>
      </c>
      <c r="K79" s="978">
        <f t="shared" si="49"/>
        <v>0.54731719502475662</v>
      </c>
      <c r="L79" s="978">
        <f t="shared" si="49"/>
        <v>0.5729878962685675</v>
      </c>
      <c r="M79" s="978">
        <f t="shared" si="49"/>
        <v>0.59865859751237838</v>
      </c>
      <c r="N79" s="978">
        <f t="shared" si="49"/>
        <v>0.62432929875618925</v>
      </c>
      <c r="O79" s="980">
        <v>0.65</v>
      </c>
    </row>
    <row r="80" spans="1:15" x14ac:dyDescent="0.6">
      <c r="A80" s="955" t="s">
        <v>273</v>
      </c>
      <c r="B80" s="957">
        <f>B79*B77</f>
        <v>56.115132750000008</v>
      </c>
      <c r="C80" s="957">
        <f>C78/C81</f>
        <v>65.89266666666667</v>
      </c>
      <c r="D80" s="957">
        <f>D78/D81</f>
        <v>77.063870967741934</v>
      </c>
      <c r="E80" s="957">
        <f>E78/E81</f>
        <v>83.598124999999996</v>
      </c>
      <c r="F80" s="957">
        <f t="shared" ref="F80:O80" si="50">F79*F77</f>
        <v>89.655481421585407</v>
      </c>
      <c r="G80" s="957">
        <f t="shared" si="50"/>
        <v>95.753611245354165</v>
      </c>
      <c r="H80" s="957">
        <f t="shared" si="50"/>
        <v>101.8877598688486</v>
      </c>
      <c r="I80" s="957">
        <f t="shared" si="50"/>
        <v>108.05479194464635</v>
      </c>
      <c r="J80" s="957">
        <f t="shared" si="50"/>
        <v>114.25148872291909</v>
      </c>
      <c r="K80" s="957">
        <f t="shared" si="50"/>
        <v>120.47257879650043</v>
      </c>
      <c r="L80" s="957">
        <f t="shared" si="50"/>
        <v>126.71215118486795</v>
      </c>
      <c r="M80" s="957">
        <f t="shared" si="50"/>
        <v>132.9661998638947</v>
      </c>
      <c r="N80" s="957">
        <f t="shared" si="50"/>
        <v>139.23128858279395</v>
      </c>
      <c r="O80" s="957">
        <f t="shared" si="50"/>
        <v>145.5038754</v>
      </c>
    </row>
    <row r="81" spans="1:19" x14ac:dyDescent="0.6">
      <c r="A81" s="955" t="s">
        <v>274</v>
      </c>
      <c r="B81" s="981">
        <f>B78/B80</f>
        <v>1.4791019094577476</v>
      </c>
      <c r="C81" s="269">
        <v>1.5</v>
      </c>
      <c r="D81" s="269">
        <v>1.55</v>
      </c>
      <c r="E81" s="269">
        <v>1.6</v>
      </c>
      <c r="F81" s="269">
        <f>E81</f>
        <v>1.6</v>
      </c>
      <c r="G81" s="269">
        <v>1.65</v>
      </c>
      <c r="H81" s="269">
        <v>1.7</v>
      </c>
      <c r="I81" s="269">
        <f t="shared" ref="I81:O81" si="51">H81</f>
        <v>1.7</v>
      </c>
      <c r="J81" s="269">
        <f t="shared" si="51"/>
        <v>1.7</v>
      </c>
      <c r="K81" s="269">
        <f t="shared" si="51"/>
        <v>1.7</v>
      </c>
      <c r="L81" s="269">
        <f t="shared" si="51"/>
        <v>1.7</v>
      </c>
      <c r="M81" s="269">
        <f t="shared" si="51"/>
        <v>1.7</v>
      </c>
      <c r="N81" s="269">
        <f t="shared" si="51"/>
        <v>1.7</v>
      </c>
      <c r="O81" s="269">
        <f t="shared" si="51"/>
        <v>1.7</v>
      </c>
    </row>
    <row r="82" spans="1:19" x14ac:dyDescent="0.6">
      <c r="A82" s="955"/>
      <c r="B82" s="955"/>
      <c r="C82" s="975"/>
      <c r="D82" s="975"/>
      <c r="E82" s="975"/>
      <c r="F82" s="975"/>
      <c r="G82" s="976"/>
      <c r="H82" s="976"/>
      <c r="I82" s="976"/>
      <c r="J82" s="976"/>
      <c r="K82" s="976"/>
      <c r="L82" s="976"/>
      <c r="M82" s="976"/>
      <c r="N82" s="976"/>
      <c r="O82" s="976"/>
    </row>
    <row r="83" spans="1:19" x14ac:dyDescent="0.6">
      <c r="A83" s="955" t="s">
        <v>270</v>
      </c>
      <c r="B83" s="955"/>
      <c r="C83" s="982">
        <v>1</v>
      </c>
      <c r="D83" s="982">
        <v>1</v>
      </c>
      <c r="E83" s="983">
        <f t="shared" ref="E83:O83" si="52">E84/E$8</f>
        <v>1</v>
      </c>
      <c r="F83" s="983">
        <f t="shared" si="52"/>
        <v>0.9721706864564007</v>
      </c>
      <c r="G83" s="983">
        <f t="shared" si="52"/>
        <v>0.95040214477211815</v>
      </c>
      <c r="H83" s="983">
        <f t="shared" si="52"/>
        <v>0.93503727369542056</v>
      </c>
      <c r="I83" s="983">
        <f t="shared" si="52"/>
        <v>0.89100750900470072</v>
      </c>
      <c r="J83" s="983">
        <f t="shared" si="52"/>
        <v>0.84364828656888191</v>
      </c>
      <c r="K83" s="983">
        <f t="shared" si="52"/>
        <v>0.80698374010517882</v>
      </c>
      <c r="L83" s="983">
        <f t="shared" si="52"/>
        <v>0.77298969177227128</v>
      </c>
      <c r="M83" s="983">
        <f t="shared" si="52"/>
        <v>0.74722739689005135</v>
      </c>
      <c r="N83" s="983">
        <f t="shared" si="52"/>
        <v>0.73727470670739814</v>
      </c>
      <c r="O83" s="983">
        <f t="shared" si="52"/>
        <v>0.73366291766388314</v>
      </c>
    </row>
    <row r="84" spans="1:19" x14ac:dyDescent="0.6">
      <c r="A84" s="955" t="s">
        <v>278</v>
      </c>
      <c r="B84" s="955"/>
      <c r="C84" s="957">
        <f t="shared" ref="C84:H84" si="53">C21</f>
        <v>5.0999999999999996</v>
      </c>
      <c r="D84" s="957">
        <f t="shared" si="53"/>
        <v>12.1</v>
      </c>
      <c r="E84" s="957">
        <f t="shared" si="53"/>
        <v>21.8</v>
      </c>
      <c r="F84" s="957">
        <f t="shared" si="53"/>
        <v>39.956215213358071</v>
      </c>
      <c r="G84" s="957">
        <f t="shared" si="53"/>
        <v>58.164611260053633</v>
      </c>
      <c r="H84" s="957">
        <f t="shared" si="53"/>
        <v>72.932907348242807</v>
      </c>
      <c r="I84" s="957">
        <f t="shared" ref="I84:O84" si="54">H84+I85</f>
        <v>83.932907348242807</v>
      </c>
      <c r="J84" s="957">
        <f>I84+J85</f>
        <v>89.932907348242807</v>
      </c>
      <c r="K84" s="957">
        <f t="shared" si="54"/>
        <v>93.932907348242807</v>
      </c>
      <c r="L84" s="957">
        <f t="shared" si="54"/>
        <v>96.932907348242807</v>
      </c>
      <c r="M84" s="957">
        <f t="shared" si="54"/>
        <v>98.932907348242807</v>
      </c>
      <c r="N84" s="957">
        <f t="shared" si="54"/>
        <v>100.93290734824281</v>
      </c>
      <c r="O84" s="957">
        <f t="shared" si="54"/>
        <v>102.93290734824281</v>
      </c>
    </row>
    <row r="85" spans="1:19" x14ac:dyDescent="0.6">
      <c r="A85" s="955" t="s">
        <v>677</v>
      </c>
      <c r="B85" s="955"/>
      <c r="C85" s="957"/>
      <c r="D85" s="957">
        <f>D84-C84</f>
        <v>7</v>
      </c>
      <c r="E85" s="957">
        <f>E84-D84</f>
        <v>9.7000000000000011</v>
      </c>
      <c r="F85" s="957">
        <f>F84-E84</f>
        <v>18.15621521335807</v>
      </c>
      <c r="G85" s="957">
        <f>G84-F84</f>
        <v>18.208396046695562</v>
      </c>
      <c r="H85" s="957">
        <f>H84-G84</f>
        <v>14.768296088189174</v>
      </c>
      <c r="I85" s="956">
        <v>11</v>
      </c>
      <c r="J85" s="956">
        <v>6</v>
      </c>
      <c r="K85" s="956">
        <v>4</v>
      </c>
      <c r="L85" s="956">
        <v>3</v>
      </c>
      <c r="M85" s="956">
        <v>2</v>
      </c>
      <c r="N85" s="956">
        <v>2</v>
      </c>
      <c r="O85" s="956">
        <v>2</v>
      </c>
    </row>
    <row r="86" spans="1:19" x14ac:dyDescent="0.6">
      <c r="A86" s="955" t="s">
        <v>271</v>
      </c>
      <c r="B86" s="955"/>
      <c r="C86" s="982">
        <v>0.72499999999999998</v>
      </c>
      <c r="D86" s="982">
        <v>0.72499999999999998</v>
      </c>
      <c r="E86" s="984">
        <f>E87/E84</f>
        <v>0.65137614678899081</v>
      </c>
      <c r="F86" s="984">
        <f>F87/F84</f>
        <v>0.58313831466726107</v>
      </c>
      <c r="G86" s="984">
        <f>G87/G84</f>
        <v>0.52265457193690812</v>
      </c>
      <c r="H86" s="984">
        <f>H87/H84</f>
        <v>0.51417119327142113</v>
      </c>
      <c r="I86" s="982">
        <v>0.53</v>
      </c>
      <c r="J86" s="982">
        <v>0.54</v>
      </c>
      <c r="K86" s="982">
        <v>0.56000000000000005</v>
      </c>
      <c r="L86" s="982">
        <v>0.57999999999999996</v>
      </c>
      <c r="M86" s="982">
        <v>0.6</v>
      </c>
      <c r="N86" s="982">
        <v>0.62</v>
      </c>
      <c r="O86" s="982">
        <v>0.64</v>
      </c>
    </row>
    <row r="87" spans="1:19" x14ac:dyDescent="0.6">
      <c r="A87" s="955" t="s">
        <v>275</v>
      </c>
      <c r="B87" s="955"/>
      <c r="C87" s="957">
        <f t="shared" ref="C87:I87" si="55">C86*C84</f>
        <v>3.6974999999999998</v>
      </c>
      <c r="D87" s="957">
        <f t="shared" si="55"/>
        <v>8.7724999999999991</v>
      </c>
      <c r="E87" s="275">
        <v>14.2</v>
      </c>
      <c r="F87" s="275">
        <v>23.3</v>
      </c>
      <c r="G87" s="275">
        <v>30.4</v>
      </c>
      <c r="H87" s="275">
        <v>37.5</v>
      </c>
      <c r="I87" s="957">
        <f t="shared" si="55"/>
        <v>44.484440894568692</v>
      </c>
      <c r="J87" s="957">
        <f t="shared" ref="J87:O87" si="56">J86*J84</f>
        <v>48.563769968051119</v>
      </c>
      <c r="K87" s="957">
        <f t="shared" si="56"/>
        <v>52.602428115015975</v>
      </c>
      <c r="L87" s="957">
        <f t="shared" si="56"/>
        <v>56.221086261980822</v>
      </c>
      <c r="M87" s="957">
        <f t="shared" si="56"/>
        <v>59.35974440894568</v>
      </c>
      <c r="N87" s="957">
        <f t="shared" si="56"/>
        <v>62.578402555910543</v>
      </c>
      <c r="O87" s="957">
        <f t="shared" si="56"/>
        <v>65.877060702875397</v>
      </c>
    </row>
    <row r="88" spans="1:19" x14ac:dyDescent="0.6">
      <c r="A88" s="955"/>
      <c r="B88" s="955"/>
      <c r="C88" s="982"/>
      <c r="D88" s="982"/>
      <c r="E88" s="982"/>
      <c r="F88" s="982"/>
      <c r="G88" s="982"/>
      <c r="H88" s="982"/>
      <c r="I88" s="982"/>
      <c r="J88" s="982"/>
      <c r="K88" s="982"/>
      <c r="L88" s="982"/>
      <c r="M88" s="982"/>
      <c r="N88" s="982"/>
      <c r="O88" s="982"/>
    </row>
    <row r="89" spans="1:19" x14ac:dyDescent="0.6">
      <c r="A89" s="168" t="s">
        <v>281</v>
      </c>
      <c r="B89" s="168"/>
      <c r="C89" s="999">
        <f>C87/C78</f>
        <v>3.7409322231103104E-2</v>
      </c>
      <c r="D89" s="999">
        <f>D87/D78</f>
        <v>7.3441385026245504E-2</v>
      </c>
      <c r="E89" s="999">
        <f>E87/E78</f>
        <v>0.1061626681220422</v>
      </c>
      <c r="F89" s="999">
        <f>F87/F78</f>
        <v>0.16242732478924529</v>
      </c>
      <c r="G89" s="999">
        <f>G87/G78</f>
        <v>0.19241302948912375</v>
      </c>
      <c r="H89" s="999">
        <f t="shared" ref="H89:N89" si="57">H87/H78</f>
        <v>0.21650121229288188</v>
      </c>
      <c r="I89" s="999">
        <f t="shared" si="57"/>
        <v>0.24216712375588612</v>
      </c>
      <c r="J89" s="999">
        <f t="shared" si="57"/>
        <v>0.25003545975578806</v>
      </c>
      <c r="K89" s="999">
        <f t="shared" si="57"/>
        <v>0.25684354964963735</v>
      </c>
      <c r="L89" s="999">
        <f t="shared" si="57"/>
        <v>0.26099491567056032</v>
      </c>
      <c r="M89" s="999">
        <f t="shared" si="57"/>
        <v>0.26260430655975997</v>
      </c>
      <c r="N89" s="999">
        <f t="shared" si="57"/>
        <v>0.26438615491947404</v>
      </c>
      <c r="O89" s="999">
        <f>O87/O78</f>
        <v>0.26632426161593492</v>
      </c>
    </row>
    <row r="90" spans="1:19" x14ac:dyDescent="0.6">
      <c r="A90" s="952"/>
      <c r="B90" s="952"/>
      <c r="C90" s="975"/>
      <c r="D90" s="975"/>
      <c r="E90" s="975"/>
      <c r="F90" s="975"/>
      <c r="G90" s="976"/>
      <c r="H90" s="976"/>
      <c r="I90" s="976"/>
      <c r="J90" s="976"/>
      <c r="K90" s="976"/>
      <c r="L90" s="976"/>
      <c r="M90" s="976"/>
      <c r="N90" s="976"/>
      <c r="O90" s="976"/>
      <c r="S90" s="186"/>
    </row>
    <row r="91" spans="1:19" x14ac:dyDescent="0.6">
      <c r="A91" s="955" t="s">
        <v>257</v>
      </c>
      <c r="B91" s="952"/>
      <c r="C91" s="273">
        <v>0</v>
      </c>
      <c r="D91" s="273">
        <v>0.01</v>
      </c>
      <c r="E91" s="273">
        <v>1.4999999999999999E-2</v>
      </c>
      <c r="F91" s="273">
        <v>0.05</v>
      </c>
      <c r="G91" s="982">
        <v>8.1699346405228759E-2</v>
      </c>
      <c r="H91" s="982">
        <v>9.1025641025641021E-2</v>
      </c>
      <c r="I91" s="273">
        <v>0.12</v>
      </c>
      <c r="J91" s="273">
        <v>0.14000000000000001</v>
      </c>
      <c r="K91" s="273">
        <v>0.16</v>
      </c>
      <c r="L91" s="273">
        <v>0.18</v>
      </c>
      <c r="M91" s="273">
        <v>0.2</v>
      </c>
      <c r="N91" s="273">
        <v>0.21</v>
      </c>
      <c r="O91" s="273">
        <v>0.22</v>
      </c>
    </row>
    <row r="92" spans="1:19" x14ac:dyDescent="0.6">
      <c r="A92" s="955" t="s">
        <v>260</v>
      </c>
      <c r="B92" s="952"/>
      <c r="C92" s="178">
        <f t="shared" ref="C92:O92" si="58">C91*C$84</f>
        <v>0</v>
      </c>
      <c r="D92" s="211">
        <f t="shared" si="58"/>
        <v>0.121</v>
      </c>
      <c r="E92" s="985">
        <f t="shared" si="58"/>
        <v>0.32700000000000001</v>
      </c>
      <c r="F92" s="211">
        <f t="shared" si="58"/>
        <v>1.9978107606679036</v>
      </c>
      <c r="G92" s="211">
        <f t="shared" si="58"/>
        <v>4.7520107238605913</v>
      </c>
      <c r="H92" s="211">
        <f t="shared" si="58"/>
        <v>6.6387646432374856</v>
      </c>
      <c r="I92" s="211">
        <f t="shared" si="58"/>
        <v>10.071948881789137</v>
      </c>
      <c r="J92" s="211">
        <f t="shared" si="58"/>
        <v>12.590607028753995</v>
      </c>
      <c r="K92" s="211">
        <f t="shared" si="58"/>
        <v>15.02926517571885</v>
      </c>
      <c r="L92" s="211">
        <f t="shared" si="58"/>
        <v>17.447923322683703</v>
      </c>
      <c r="M92" s="211">
        <f t="shared" si="58"/>
        <v>19.786581469648564</v>
      </c>
      <c r="N92" s="211">
        <f t="shared" si="58"/>
        <v>21.195910543130989</v>
      </c>
      <c r="O92" s="211">
        <f t="shared" si="58"/>
        <v>22.645239616613416</v>
      </c>
    </row>
    <row r="93" spans="1:19" x14ac:dyDescent="0.6">
      <c r="A93" s="955"/>
      <c r="B93" s="952"/>
      <c r="C93" s="975"/>
      <c r="D93" s="975"/>
      <c r="E93" s="975"/>
      <c r="F93" s="975"/>
      <c r="G93" s="976"/>
      <c r="H93" s="976"/>
      <c r="I93" s="976"/>
      <c r="J93" s="976"/>
      <c r="K93" s="976"/>
      <c r="L93" s="976"/>
      <c r="M93" s="976"/>
      <c r="N93" s="976"/>
      <c r="O93" s="976"/>
    </row>
    <row r="94" spans="1:19" x14ac:dyDescent="0.6">
      <c r="A94" s="1036" t="s">
        <v>1317</v>
      </c>
      <c r="B94" s="952"/>
      <c r="C94" s="975"/>
      <c r="D94" s="975"/>
      <c r="E94" s="975"/>
      <c r="F94" s="975"/>
      <c r="G94" s="976"/>
      <c r="H94" s="273">
        <v>0</v>
      </c>
      <c r="I94" s="273">
        <v>0.01</v>
      </c>
      <c r="J94" s="273">
        <v>0.06</v>
      </c>
      <c r="K94" s="273">
        <v>0.11</v>
      </c>
      <c r="L94" s="273">
        <v>0.14000000000000001</v>
      </c>
      <c r="M94" s="273">
        <v>0.16</v>
      </c>
      <c r="N94" s="273">
        <v>0.16</v>
      </c>
      <c r="O94" s="273">
        <v>0.16</v>
      </c>
    </row>
    <row r="95" spans="1:19" x14ac:dyDescent="0.6">
      <c r="A95" s="1036" t="s">
        <v>1318</v>
      </c>
      <c r="B95" s="952"/>
      <c r="C95" s="975"/>
      <c r="D95" s="975"/>
      <c r="E95" s="975"/>
      <c r="F95" s="975"/>
      <c r="G95" s="976"/>
      <c r="H95" s="211">
        <f t="shared" ref="H95:O95" si="59">H94*H$84</f>
        <v>0</v>
      </c>
      <c r="I95" s="211">
        <f t="shared" si="59"/>
        <v>0.83932907348242813</v>
      </c>
      <c r="J95" s="211">
        <f t="shared" si="59"/>
        <v>5.3959744408945678</v>
      </c>
      <c r="K95" s="211">
        <f t="shared" si="59"/>
        <v>10.332619808306708</v>
      </c>
      <c r="L95" s="211">
        <f t="shared" si="59"/>
        <v>13.570607028753994</v>
      </c>
      <c r="M95" s="211">
        <f t="shared" si="59"/>
        <v>15.829265175718849</v>
      </c>
      <c r="N95" s="211">
        <f t="shared" si="59"/>
        <v>16.149265175718849</v>
      </c>
      <c r="O95" s="211">
        <f t="shared" si="59"/>
        <v>16.469265175718849</v>
      </c>
    </row>
    <row r="96" spans="1:19" x14ac:dyDescent="0.6">
      <c r="A96" s="955"/>
      <c r="B96" s="952"/>
      <c r="C96" s="975"/>
      <c r="D96" s="975"/>
      <c r="E96" s="975"/>
      <c r="F96" s="975"/>
      <c r="G96" s="976"/>
      <c r="H96" s="976"/>
      <c r="I96" s="976"/>
      <c r="J96" s="976"/>
      <c r="K96" s="976"/>
      <c r="L96" s="976"/>
      <c r="M96" s="976"/>
      <c r="N96" s="976"/>
      <c r="O96" s="976"/>
    </row>
    <row r="97" spans="1:23" x14ac:dyDescent="0.6">
      <c r="A97" s="1299" t="s">
        <v>2373</v>
      </c>
      <c r="B97" s="952"/>
      <c r="C97" s="953">
        <f>C98+C102</f>
        <v>1623.8</v>
      </c>
      <c r="D97" s="953">
        <f>D98+D102</f>
        <v>2844.5</v>
      </c>
      <c r="E97" s="953">
        <f>E98+E102</f>
        <v>3111.2255813953489</v>
      </c>
      <c r="F97" s="953">
        <f>F98+F102</f>
        <v>5815.1798082869518</v>
      </c>
      <c r="G97" s="953">
        <f>G98+G102</f>
        <v>9450.4216562406928</v>
      </c>
      <c r="H97" s="953">
        <f>H98+H102+H111</f>
        <v>14775.517307692306</v>
      </c>
      <c r="I97" s="953">
        <f t="shared" ref="I97:O97" si="60">I98+I102+I111</f>
        <v>17886.571881134107</v>
      </c>
      <c r="J97" s="953">
        <f t="shared" si="60"/>
        <v>23254.915876230589</v>
      </c>
      <c r="K97" s="953">
        <f>K98+K102+K111</f>
        <v>29595.154479567685</v>
      </c>
      <c r="L97" s="953">
        <f t="shared" si="60"/>
        <v>35761.765174129185</v>
      </c>
      <c r="M97" s="953">
        <f t="shared" si="60"/>
        <v>41644.097586719196</v>
      </c>
      <c r="N97" s="953">
        <f t="shared" si="60"/>
        <v>46790.66358016897</v>
      </c>
      <c r="O97" s="953">
        <f t="shared" si="60"/>
        <v>51941.714204345597</v>
      </c>
    </row>
    <row r="98" spans="1:23" x14ac:dyDescent="0.6">
      <c r="A98" s="954" t="s">
        <v>179</v>
      </c>
      <c r="B98" s="954"/>
      <c r="C98" s="149">
        <v>0</v>
      </c>
      <c r="D98" s="59">
        <v>58</v>
      </c>
      <c r="E98" s="59">
        <f t="shared" ref="E98:G98" si="61">E37-E148-E179</f>
        <v>202.32558139534882</v>
      </c>
      <c r="F98" s="59">
        <f t="shared" si="61"/>
        <v>1163.7759740259739</v>
      </c>
      <c r="G98" s="59">
        <f t="shared" si="61"/>
        <v>1601.2359249329759</v>
      </c>
      <c r="H98" s="59">
        <f>H37-H148-H179</f>
        <v>3041.9</v>
      </c>
      <c r="I98" s="953">
        <f>I115/Macro!I$4</f>
        <v>4812.0126517369308</v>
      </c>
      <c r="J98" s="953">
        <f>J115/Macro!J$4</f>
        <v>6496.5632678054135</v>
      </c>
      <c r="K98" s="953">
        <f>K115/Macro!K$4</f>
        <v>8142.6177826600006</v>
      </c>
      <c r="L98" s="953">
        <f>L115/Macro!L$4</f>
        <v>9925.6588735068381</v>
      </c>
      <c r="M98" s="953">
        <f>M115/Macro!M$4</f>
        <v>11818.862166222203</v>
      </c>
      <c r="N98" s="953">
        <f>N115/Macro!N$4</f>
        <v>13293.712350471784</v>
      </c>
      <c r="O98" s="953">
        <f>O115/Macro!O$4</f>
        <v>14912.842078951946</v>
      </c>
      <c r="R98" s="279"/>
      <c r="W98" s="279"/>
    </row>
    <row r="99" spans="1:23" x14ac:dyDescent="0.6">
      <c r="A99" s="954" t="s">
        <v>566</v>
      </c>
      <c r="B99" s="954"/>
      <c r="C99" s="149"/>
      <c r="D99" s="59"/>
      <c r="E99" s="894">
        <f t="shared" ref="E99:G99" si="62">E98/E37</f>
        <v>1</v>
      </c>
      <c r="F99" s="894">
        <f t="shared" si="62"/>
        <v>0.97402597402597402</v>
      </c>
      <c r="G99" s="894">
        <f t="shared" si="62"/>
        <v>0.95710455764075064</v>
      </c>
      <c r="H99" s="894">
        <f>H98/H37</f>
        <v>0.95000000000000007</v>
      </c>
      <c r="I99" s="894">
        <f t="shared" ref="I99:O99" si="63">I83</f>
        <v>0.89100750900470072</v>
      </c>
      <c r="J99" s="894">
        <f t="shared" si="63"/>
        <v>0.84364828656888191</v>
      </c>
      <c r="K99" s="894">
        <f t="shared" si="63"/>
        <v>0.80698374010517882</v>
      </c>
      <c r="L99" s="894">
        <f t="shared" si="63"/>
        <v>0.77298969177227128</v>
      </c>
      <c r="M99" s="894">
        <f t="shared" si="63"/>
        <v>0.74722739689005135</v>
      </c>
      <c r="N99" s="894">
        <f t="shared" si="63"/>
        <v>0.73727470670739814</v>
      </c>
      <c r="O99" s="894">
        <f t="shared" si="63"/>
        <v>0.73366291766388314</v>
      </c>
      <c r="R99" s="279"/>
      <c r="W99" s="279"/>
    </row>
    <row r="100" spans="1:23" x14ac:dyDescent="0.6">
      <c r="A100" s="959" t="s">
        <v>261</v>
      </c>
      <c r="B100" s="959"/>
      <c r="C100" s="149"/>
      <c r="D100" s="961"/>
      <c r="E100" s="961">
        <f t="shared" ref="E100:O100" si="64">E98/D98-1</f>
        <v>2.4883720930232553</v>
      </c>
      <c r="F100" s="961">
        <f t="shared" si="64"/>
        <v>4.7519961934617108</v>
      </c>
      <c r="G100" s="960">
        <f t="shared" si="64"/>
        <v>0.37589704605573715</v>
      </c>
      <c r="H100" s="960">
        <f t="shared" si="64"/>
        <v>0.89972005538617128</v>
      </c>
      <c r="I100" s="960">
        <f t="shared" si="64"/>
        <v>0.58191020471972466</v>
      </c>
      <c r="J100" s="960">
        <f t="shared" si="64"/>
        <v>0.35007194244604323</v>
      </c>
      <c r="K100" s="960">
        <f t="shared" si="64"/>
        <v>0.25337312160289893</v>
      </c>
      <c r="L100" s="960">
        <f t="shared" si="64"/>
        <v>0.21897639536070179</v>
      </c>
      <c r="M100" s="960">
        <f t="shared" si="64"/>
        <v>0.19073829927488495</v>
      </c>
      <c r="N100" s="960">
        <f t="shared" si="64"/>
        <v>0.12478783181553954</v>
      </c>
      <c r="O100" s="960">
        <f t="shared" si="64"/>
        <v>0.12179665738161538</v>
      </c>
      <c r="R100" s="279"/>
      <c r="W100" s="279"/>
    </row>
    <row r="101" spans="1:23" x14ac:dyDescent="0.6">
      <c r="A101" s="959"/>
      <c r="B101" s="959"/>
      <c r="C101" s="149"/>
      <c r="D101" s="961"/>
      <c r="E101" s="961"/>
      <c r="F101" s="961"/>
      <c r="G101" s="960"/>
      <c r="H101" s="960"/>
      <c r="I101" s="960"/>
      <c r="J101" s="960"/>
      <c r="K101" s="960"/>
      <c r="L101" s="960"/>
      <c r="M101" s="960"/>
      <c r="N101" s="960"/>
      <c r="O101" s="960"/>
      <c r="R101" s="279"/>
      <c r="W101" s="279"/>
    </row>
    <row r="102" spans="1:23" x14ac:dyDescent="0.6">
      <c r="A102" s="954" t="s">
        <v>255</v>
      </c>
      <c r="B102" s="954"/>
      <c r="C102" s="59">
        <v>1623.8</v>
      </c>
      <c r="D102" s="59">
        <v>2786.5</v>
      </c>
      <c r="E102" s="59">
        <f t="shared" ref="E102:G102" si="65">E39-E151-E182</f>
        <v>2908.9</v>
      </c>
      <c r="F102" s="59">
        <f t="shared" si="65"/>
        <v>4651.4038342609774</v>
      </c>
      <c r="G102" s="59">
        <f t="shared" si="65"/>
        <v>7849.1857313077162</v>
      </c>
      <c r="H102" s="59">
        <f>H39-H151-H182</f>
        <v>11733.617307692306</v>
      </c>
      <c r="I102" s="97">
        <f>I117/Macro!I$4</f>
        <v>12914.323679005076</v>
      </c>
      <c r="J102" s="97">
        <f>J117/Macro!J$4</f>
        <v>15508.457676679607</v>
      </c>
      <c r="K102" s="97">
        <f>K117/Macro!K$4</f>
        <v>18142.025075501937</v>
      </c>
      <c r="L102" s="97">
        <f>L117/Macro!L$4</f>
        <v>20553.466006874161</v>
      </c>
      <c r="M102" s="97">
        <f>M117/Macro!M$4</f>
        <v>23002.959996056095</v>
      </c>
      <c r="N102" s="97">
        <f>N117/Macro!N$4</f>
        <v>25705.262299232472</v>
      </c>
      <c r="O102" s="97">
        <f>O117/Macro!O$4</f>
        <v>28683.863426496609</v>
      </c>
    </row>
    <row r="103" spans="1:23" x14ac:dyDescent="0.6">
      <c r="A103" s="954" t="s">
        <v>566</v>
      </c>
      <c r="B103" s="954"/>
      <c r="C103" s="149"/>
      <c r="D103" s="59"/>
      <c r="E103" s="894">
        <f t="shared" ref="E103:G103" si="66">E102/E39</f>
        <v>1</v>
      </c>
      <c r="F103" s="894">
        <f t="shared" si="66"/>
        <v>0.97299525870954451</v>
      </c>
      <c r="G103" s="894">
        <f t="shared" si="66"/>
        <v>0.95338099493595485</v>
      </c>
      <c r="H103" s="894">
        <f>H102/H39</f>
        <v>0.94519230769230755</v>
      </c>
      <c r="I103" s="894">
        <f t="shared" ref="I103:O103" si="67">I99</f>
        <v>0.89100750900470072</v>
      </c>
      <c r="J103" s="894">
        <f t="shared" si="67"/>
        <v>0.84364828656888191</v>
      </c>
      <c r="K103" s="894">
        <f t="shared" si="67"/>
        <v>0.80698374010517882</v>
      </c>
      <c r="L103" s="894">
        <f t="shared" si="67"/>
        <v>0.77298969177227128</v>
      </c>
      <c r="M103" s="894">
        <f t="shared" si="67"/>
        <v>0.74722739689005135</v>
      </c>
      <c r="N103" s="894">
        <f t="shared" si="67"/>
        <v>0.73727470670739814</v>
      </c>
      <c r="O103" s="894">
        <f t="shared" si="67"/>
        <v>0.73366291766388314</v>
      </c>
    </row>
    <row r="104" spans="1:23" x14ac:dyDescent="0.6">
      <c r="A104" s="959" t="s">
        <v>261</v>
      </c>
      <c r="B104" s="959"/>
      <c r="C104" s="149"/>
      <c r="D104" s="960"/>
      <c r="E104" s="961">
        <f t="shared" ref="E104:O104" si="68">E102/D102-1</f>
        <v>4.392607213350086E-2</v>
      </c>
      <c r="F104" s="961">
        <f t="shared" si="68"/>
        <v>0.59902500404310133</v>
      </c>
      <c r="G104" s="960">
        <f t="shared" si="68"/>
        <v>0.68748747926222742</v>
      </c>
      <c r="H104" s="960">
        <f t="shared" si="68"/>
        <v>0.49488338145585242</v>
      </c>
      <c r="I104" s="960">
        <f t="shared" si="68"/>
        <v>0.10062594853325613</v>
      </c>
      <c r="J104" s="960">
        <f t="shared" si="68"/>
        <v>0.20087261727006545</v>
      </c>
      <c r="K104" s="960">
        <f t="shared" si="68"/>
        <v>0.16981491349603894</v>
      </c>
      <c r="L104" s="960">
        <f t="shared" si="68"/>
        <v>0.13292016306539622</v>
      </c>
      <c r="M104" s="960">
        <f t="shared" si="68"/>
        <v>0.11917668720023644</v>
      </c>
      <c r="N104" s="960">
        <f t="shared" si="68"/>
        <v>0.11747628581885516</v>
      </c>
      <c r="O104" s="960">
        <f t="shared" si="68"/>
        <v>0.1158751500992492</v>
      </c>
    </row>
    <row r="105" spans="1:23" x14ac:dyDescent="0.6">
      <c r="A105" s="959"/>
      <c r="B105" s="952"/>
      <c r="C105" s="975"/>
      <c r="D105" s="975"/>
      <c r="E105" s="975"/>
      <c r="F105" s="975"/>
      <c r="G105" s="976"/>
      <c r="H105" s="976"/>
      <c r="I105" s="976"/>
      <c r="J105" s="976"/>
      <c r="K105" s="976"/>
      <c r="L105" s="976"/>
      <c r="M105" s="976"/>
      <c r="N105" s="976"/>
      <c r="O105" s="976"/>
    </row>
    <row r="106" spans="1:23" x14ac:dyDescent="0.6">
      <c r="A106" s="954" t="s">
        <v>258</v>
      </c>
      <c r="B106" s="954"/>
      <c r="C106" s="953"/>
      <c r="D106" s="953">
        <f>D98/D92</f>
        <v>479.3388429752066</v>
      </c>
      <c r="E106" s="953">
        <f>E98/E92</f>
        <v>618.73266481758048</v>
      </c>
      <c r="F106" s="953">
        <f>F98/F92</f>
        <v>582.52563102468366</v>
      </c>
      <c r="G106" s="953">
        <f t="shared" ref="G106:O106" si="69">G98/G92</f>
        <v>336.95966149506336</v>
      </c>
      <c r="H106" s="953">
        <f t="shared" si="69"/>
        <v>458.20271744361395</v>
      </c>
      <c r="I106" s="953">
        <f t="shared" si="69"/>
        <v>477.76380799920679</v>
      </c>
      <c r="J106" s="953">
        <f t="shared" si="69"/>
        <v>515.98491263914332</v>
      </c>
      <c r="K106" s="953">
        <f t="shared" si="69"/>
        <v>541.78415827110052</v>
      </c>
      <c r="L106" s="953">
        <f t="shared" si="69"/>
        <v>568.87336618465554</v>
      </c>
      <c r="M106" s="953">
        <f t="shared" si="69"/>
        <v>597.3170344938884</v>
      </c>
      <c r="N106" s="953">
        <f t="shared" si="69"/>
        <v>627.18288621858289</v>
      </c>
      <c r="O106" s="953">
        <f t="shared" si="69"/>
        <v>658.54203052951198</v>
      </c>
      <c r="R106" s="279"/>
      <c r="W106" s="279"/>
    </row>
    <row r="107" spans="1:23" x14ac:dyDescent="0.6">
      <c r="A107" s="959" t="s">
        <v>261</v>
      </c>
      <c r="B107" s="959"/>
      <c r="C107" s="149"/>
      <c r="D107" s="960"/>
      <c r="E107" s="961">
        <f>E106/D106-1</f>
        <v>0.29080435246426273</v>
      </c>
      <c r="F107" s="961">
        <f>F106/E106-1</f>
        <v>-5.8518057719761152E-2</v>
      </c>
      <c r="G107" s="961">
        <f t="shared" ref="G107:O107" si="70">G106/F106-1</f>
        <v>-0.42155393076466163</v>
      </c>
      <c r="H107" s="961">
        <f t="shared" si="70"/>
        <v>0.35981474877617314</v>
      </c>
      <c r="I107" s="961">
        <f t="shared" si="70"/>
        <v>4.2690909090909113E-2</v>
      </c>
      <c r="J107" s="961">
        <f t="shared" si="70"/>
        <v>8.0000000000000071E-2</v>
      </c>
      <c r="K107" s="961">
        <f t="shared" si="70"/>
        <v>5.0000000000000044E-2</v>
      </c>
      <c r="L107" s="961">
        <f t="shared" si="70"/>
        <v>5.0000000000000044E-2</v>
      </c>
      <c r="M107" s="961">
        <f t="shared" si="70"/>
        <v>5.0000000000000044E-2</v>
      </c>
      <c r="N107" s="961">
        <f t="shared" si="70"/>
        <v>5.0000000000000044E-2</v>
      </c>
      <c r="O107" s="961">
        <f t="shared" si="70"/>
        <v>4.9999999999999822E-2</v>
      </c>
    </row>
    <row r="108" spans="1:23" x14ac:dyDescent="0.6">
      <c r="A108" s="954" t="s">
        <v>259</v>
      </c>
      <c r="B108" s="954"/>
      <c r="C108" s="953"/>
      <c r="D108" s="953">
        <f t="shared" ref="D108:O108" si="71">D102/D87</f>
        <v>317.64035337703052</v>
      </c>
      <c r="E108" s="953">
        <f t="shared" si="71"/>
        <v>204.85211267605635</v>
      </c>
      <c r="F108" s="953">
        <f t="shared" si="71"/>
        <v>199.63106584811061</v>
      </c>
      <c r="G108" s="953">
        <f t="shared" si="71"/>
        <v>258.19689905617491</v>
      </c>
      <c r="H108" s="953">
        <f t="shared" si="71"/>
        <v>312.89646153846149</v>
      </c>
      <c r="I108" s="953">
        <f t="shared" si="71"/>
        <v>290.31102604195809</v>
      </c>
      <c r="J108" s="953">
        <f t="shared" si="71"/>
        <v>319.34212864615392</v>
      </c>
      <c r="K108" s="953">
        <f t="shared" si="71"/>
        <v>344.88949893784627</v>
      </c>
      <c r="L108" s="953">
        <f t="shared" si="71"/>
        <v>365.58286887411708</v>
      </c>
      <c r="M108" s="953">
        <f t="shared" si="71"/>
        <v>387.51784100656414</v>
      </c>
      <c r="N108" s="953">
        <f t="shared" si="71"/>
        <v>410.76891146695795</v>
      </c>
      <c r="O108" s="953">
        <f t="shared" si="71"/>
        <v>435.41504615497541</v>
      </c>
    </row>
    <row r="109" spans="1:23" x14ac:dyDescent="0.6">
      <c r="A109" s="959" t="s">
        <v>261</v>
      </c>
      <c r="B109" s="959"/>
      <c r="C109" s="149"/>
      <c r="D109" s="960"/>
      <c r="E109" s="961">
        <f>E108/D108-1</f>
        <v>-0.35508158677527213</v>
      </c>
      <c r="F109" s="961">
        <f>F108/E108-1</f>
        <v>-2.5486907407208714E-2</v>
      </c>
      <c r="G109" s="961">
        <f t="shared" ref="G109:O109" si="72">G108/F108-1</f>
        <v>0.29337033772401</v>
      </c>
      <c r="H109" s="961">
        <f t="shared" si="72"/>
        <v>0.2118521279002108</v>
      </c>
      <c r="I109" s="961">
        <f t="shared" si="72"/>
        <v>-7.2181818181817903E-2</v>
      </c>
      <c r="J109" s="961">
        <f t="shared" si="72"/>
        <v>0.10000000000000009</v>
      </c>
      <c r="K109" s="961">
        <f t="shared" si="72"/>
        <v>8.0000000000000071E-2</v>
      </c>
      <c r="L109" s="961">
        <f t="shared" si="72"/>
        <v>6.0000000000000053E-2</v>
      </c>
      <c r="M109" s="961">
        <f t="shared" si="72"/>
        <v>6.0000000000000053E-2</v>
      </c>
      <c r="N109" s="961">
        <f t="shared" si="72"/>
        <v>5.9999999999999831E-2</v>
      </c>
      <c r="O109" s="961">
        <f t="shared" si="72"/>
        <v>6.0000000000000053E-2</v>
      </c>
    </row>
    <row r="110" spans="1:23" x14ac:dyDescent="0.6">
      <c r="A110" s="959"/>
      <c r="B110" s="959"/>
      <c r="C110" s="149"/>
      <c r="D110" s="960"/>
      <c r="E110" s="961"/>
      <c r="F110" s="961"/>
      <c r="G110" s="986"/>
      <c r="H110" s="986"/>
      <c r="I110" s="986"/>
      <c r="J110" s="986"/>
      <c r="K110" s="986"/>
      <c r="L110" s="986"/>
      <c r="M110" s="986"/>
      <c r="N110" s="986"/>
      <c r="O110" s="986"/>
    </row>
    <row r="111" spans="1:23" x14ac:dyDescent="0.6">
      <c r="A111" s="1037" t="s">
        <v>419</v>
      </c>
      <c r="B111" s="959"/>
      <c r="C111" s="149"/>
      <c r="D111" s="960"/>
      <c r="E111" s="961"/>
      <c r="F111" s="961"/>
      <c r="G111" s="986"/>
      <c r="H111" s="953"/>
      <c r="I111" s="953">
        <f>I119/Macro!I$4</f>
        <v>160.2355503920999</v>
      </c>
      <c r="J111" s="953">
        <f>J119/Macro!J$4</f>
        <v>1249.8949317455706</v>
      </c>
      <c r="K111" s="953">
        <f>K119/Macro!K$4</f>
        <v>3310.5116214057502</v>
      </c>
      <c r="L111" s="953">
        <f>L119/Macro!L$4</f>
        <v>5282.6402937481844</v>
      </c>
      <c r="M111" s="953">
        <f>M119/Macro!M$4</f>
        <v>6822.2754244408952</v>
      </c>
      <c r="N111" s="953">
        <f>N119/Macro!N$4</f>
        <v>7791.6889304647129</v>
      </c>
      <c r="O111" s="953">
        <f>O119/Macro!O$4</f>
        <v>8345.0086988970397</v>
      </c>
    </row>
    <row r="112" spans="1:23" x14ac:dyDescent="0.6">
      <c r="A112" s="959" t="s">
        <v>261</v>
      </c>
      <c r="B112" s="959"/>
      <c r="C112" s="149"/>
      <c r="D112" s="960"/>
      <c r="E112" s="961"/>
      <c r="F112" s="961"/>
      <c r="G112" s="986"/>
      <c r="H112" s="986"/>
      <c r="I112" s="961"/>
      <c r="J112" s="961">
        <f t="shared" ref="J112:O112" si="73">J111/I111-1</f>
        <v>6.8003597122302155</v>
      </c>
      <c r="K112" s="961">
        <f t="shared" si="73"/>
        <v>1.6486319268311429</v>
      </c>
      <c r="L112" s="961">
        <f t="shared" si="73"/>
        <v>0.59571718751586933</v>
      </c>
      <c r="M112" s="961">
        <f t="shared" si="73"/>
        <v>0.29145182050627483</v>
      </c>
      <c r="N112" s="961">
        <f t="shared" si="73"/>
        <v>0.14209533413894149</v>
      </c>
      <c r="O112" s="961">
        <f t="shared" si="73"/>
        <v>7.1014098916205803E-2</v>
      </c>
    </row>
    <row r="113" spans="1:15" x14ac:dyDescent="0.6">
      <c r="A113" s="959"/>
      <c r="B113" s="959"/>
      <c r="C113" s="149"/>
      <c r="D113" s="960"/>
      <c r="E113" s="961"/>
      <c r="F113" s="961"/>
      <c r="G113" s="986"/>
      <c r="H113" s="986"/>
      <c r="I113" s="986"/>
      <c r="J113" s="986"/>
      <c r="K113" s="986"/>
      <c r="L113" s="986"/>
      <c r="M113" s="986"/>
      <c r="N113" s="986"/>
      <c r="O113" s="986"/>
    </row>
    <row r="114" spans="1:15" x14ac:dyDescent="0.6">
      <c r="A114" s="955" t="s">
        <v>862</v>
      </c>
      <c r="B114" s="952"/>
      <c r="C114" s="953">
        <f>C115+C117</f>
        <v>6291.9002399999999</v>
      </c>
      <c r="D114" s="953">
        <f>D115+D117</f>
        <v>11465.326150000001</v>
      </c>
      <c r="E114" s="953">
        <f>E115+E117</f>
        <v>16168.105978837209</v>
      </c>
      <c r="F114" s="953">
        <f>F115+F117</f>
        <v>32451.610920145329</v>
      </c>
      <c r="G114" s="953">
        <f>G115+G117</f>
        <v>48386.158879952345</v>
      </c>
      <c r="H114" s="953">
        <f>H115+H117+H119</f>
        <v>71809.01411538462</v>
      </c>
      <c r="I114" s="953">
        <f t="shared" ref="I114:O114" si="74">I115+I117+I119</f>
        <v>98376.145346237579</v>
      </c>
      <c r="J114" s="953">
        <f t="shared" si="74"/>
        <v>127902.03731926826</v>
      </c>
      <c r="K114" s="953">
        <f t="shared" si="74"/>
        <v>162773.3496376223</v>
      </c>
      <c r="L114" s="953">
        <f t="shared" si="74"/>
        <v>196689.70845771051</v>
      </c>
      <c r="M114" s="953">
        <f t="shared" si="74"/>
        <v>229042.53672695556</v>
      </c>
      <c r="N114" s="953">
        <f t="shared" si="74"/>
        <v>257348.64969092931</v>
      </c>
      <c r="O114" s="953">
        <f t="shared" si="74"/>
        <v>285679.42812390078</v>
      </c>
    </row>
    <row r="115" spans="1:15" x14ac:dyDescent="0.6">
      <c r="A115" s="954" t="s">
        <v>179</v>
      </c>
      <c r="B115" s="954"/>
      <c r="C115" s="59">
        <f>C98*Macro!C$4</f>
        <v>0</v>
      </c>
      <c r="D115" s="59">
        <f>D98*Macro!D$4</f>
        <v>233.78060000000002</v>
      </c>
      <c r="E115" s="59">
        <f>E98*Macro!E$4</f>
        <v>1051.4253488372092</v>
      </c>
      <c r="F115" s="59">
        <f>F98*Macro!F$4</f>
        <v>6494.451823051947</v>
      </c>
      <c r="G115" s="59">
        <f>G98*Macro!G$4</f>
        <v>8198.3279356568364</v>
      </c>
      <c r="H115" s="59">
        <f>H98*Macro!H$4</f>
        <v>14783.634000000002</v>
      </c>
      <c r="I115" s="953">
        <f>I122*I92</f>
        <v>26466.069584553119</v>
      </c>
      <c r="J115" s="953">
        <f t="shared" ref="J115:O115" si="75">J122*J92</f>
        <v>35731.097972929776</v>
      </c>
      <c r="K115" s="953">
        <f t="shared" si="75"/>
        <v>44784.397804630004</v>
      </c>
      <c r="L115" s="953">
        <f t="shared" si="75"/>
        <v>54591.123804287614</v>
      </c>
      <c r="M115" s="953">
        <f t="shared" si="75"/>
        <v>65003.741914222119</v>
      </c>
      <c r="N115" s="953">
        <f t="shared" si="75"/>
        <v>73115.417927594812</v>
      </c>
      <c r="O115" s="953">
        <f t="shared" si="75"/>
        <v>82020.631434235707</v>
      </c>
    </row>
    <row r="116" spans="1:15" x14ac:dyDescent="0.6">
      <c r="A116" s="959" t="s">
        <v>261</v>
      </c>
      <c r="B116" s="959"/>
      <c r="C116" s="149"/>
      <c r="D116" s="961"/>
      <c r="E116" s="961">
        <f t="shared" ref="E116:O116" si="76">E115/D115-1</f>
        <v>3.4974875966492052</v>
      </c>
      <c r="F116" s="961">
        <f t="shared" si="76"/>
        <v>5.1768073503594731</v>
      </c>
      <c r="G116" s="960">
        <f t="shared" si="76"/>
        <v>0.26235872696091289</v>
      </c>
      <c r="H116" s="960">
        <f t="shared" si="76"/>
        <v>0.80324989632359234</v>
      </c>
      <c r="I116" s="960">
        <f t="shared" si="76"/>
        <v>0.79022759793384467</v>
      </c>
      <c r="J116" s="960">
        <f t="shared" si="76"/>
        <v>0.35007194244604323</v>
      </c>
      <c r="K116" s="960">
        <f t="shared" si="76"/>
        <v>0.25337312160289871</v>
      </c>
      <c r="L116" s="960">
        <f t="shared" si="76"/>
        <v>0.21897639536070201</v>
      </c>
      <c r="M116" s="960">
        <f t="shared" si="76"/>
        <v>0.19073829927488495</v>
      </c>
      <c r="N116" s="960">
        <f t="shared" si="76"/>
        <v>0.12478783181553954</v>
      </c>
      <c r="O116" s="960">
        <f t="shared" si="76"/>
        <v>0.1217966573816156</v>
      </c>
    </row>
    <row r="117" spans="1:15" x14ac:dyDescent="0.6">
      <c r="A117" s="954" t="s">
        <v>255</v>
      </c>
      <c r="B117" s="954"/>
      <c r="C117" s="59">
        <f>C102*Macro!C$4</f>
        <v>6291.9002399999999</v>
      </c>
      <c r="D117" s="59">
        <f>D102*Macro!D$4</f>
        <v>11231.545550000001</v>
      </c>
      <c r="E117" s="59">
        <f>E102*Macro!E$4</f>
        <v>15116.680630000001</v>
      </c>
      <c r="F117" s="59">
        <f>F102*Macro!F$4</f>
        <v>25957.159097093383</v>
      </c>
      <c r="G117" s="59">
        <f>G102*Macro!G$4</f>
        <v>40187.830944295507</v>
      </c>
      <c r="H117" s="59">
        <f>H102*Macro!H$4</f>
        <v>57025.380115384614</v>
      </c>
      <c r="I117" s="953">
        <f>I124*I87</f>
        <v>71028.78023452792</v>
      </c>
      <c r="J117" s="953">
        <f>J124*J87</f>
        <v>85296.517221737842</v>
      </c>
      <c r="K117" s="953">
        <f t="shared" ref="K117:O117" si="77">K124*K87</f>
        <v>99781.137915260653</v>
      </c>
      <c r="L117" s="953">
        <f t="shared" si="77"/>
        <v>113044.06303780788</v>
      </c>
      <c r="M117" s="953">
        <f t="shared" si="77"/>
        <v>126516.27997830852</v>
      </c>
      <c r="N117" s="953">
        <f t="shared" si="77"/>
        <v>141378.94264577859</v>
      </c>
      <c r="O117" s="953">
        <f t="shared" si="77"/>
        <v>157761.24884573134</v>
      </c>
    </row>
    <row r="118" spans="1:15" x14ac:dyDescent="0.6">
      <c r="A118" s="959" t="s">
        <v>261</v>
      </c>
      <c r="B118" s="959"/>
      <c r="C118" s="149"/>
      <c r="D118" s="960"/>
      <c r="E118" s="961">
        <f t="shared" ref="E118:O118" si="78">E117/D117-1</f>
        <v>0.34591277422188793</v>
      </c>
      <c r="F118" s="961">
        <f t="shared" si="78"/>
        <v>0.71712029462207294</v>
      </c>
      <c r="G118" s="960">
        <f t="shared" si="78"/>
        <v>0.54823687730895165</v>
      </c>
      <c r="H118" s="960">
        <f t="shared" si="78"/>
        <v>0.41897133474129755</v>
      </c>
      <c r="I118" s="960">
        <f t="shared" si="78"/>
        <v>0.24556434504792346</v>
      </c>
      <c r="J118" s="960">
        <f t="shared" si="78"/>
        <v>0.20087261727006545</v>
      </c>
      <c r="K118" s="960">
        <f t="shared" si="78"/>
        <v>0.16981491349603894</v>
      </c>
      <c r="L118" s="960">
        <f t="shared" si="78"/>
        <v>0.13292016306539622</v>
      </c>
      <c r="M118" s="960">
        <f t="shared" si="78"/>
        <v>0.11917668720023644</v>
      </c>
      <c r="N118" s="960">
        <f t="shared" si="78"/>
        <v>0.11747628581885516</v>
      </c>
      <c r="O118" s="960">
        <f t="shared" si="78"/>
        <v>0.11587515009924942</v>
      </c>
    </row>
    <row r="119" spans="1:15" x14ac:dyDescent="0.6">
      <c r="A119" s="1034" t="s">
        <v>419</v>
      </c>
      <c r="B119" s="959"/>
      <c r="C119" s="149"/>
      <c r="D119" s="960"/>
      <c r="E119" s="961"/>
      <c r="F119" s="961"/>
      <c r="G119" s="960"/>
      <c r="H119" s="953"/>
      <c r="I119" s="953">
        <f>I126*AVERAGE(H95,I95)</f>
        <v>881.2955271565495</v>
      </c>
      <c r="J119" s="953">
        <f t="shared" ref="J119:O119" si="79">J126*AVERAGE(I95,J95)</f>
        <v>6874.4221246006382</v>
      </c>
      <c r="K119" s="953">
        <f t="shared" si="79"/>
        <v>18207.813917731626</v>
      </c>
      <c r="L119" s="953">
        <f t="shared" si="79"/>
        <v>29054.521615615016</v>
      </c>
      <c r="M119" s="953">
        <f t="shared" si="79"/>
        <v>37522.514834424925</v>
      </c>
      <c r="N119" s="953">
        <f t="shared" si="79"/>
        <v>42854.28911755592</v>
      </c>
      <c r="O119" s="953">
        <f t="shared" si="79"/>
        <v>45897.547843933717</v>
      </c>
    </row>
    <row r="120" spans="1:15" x14ac:dyDescent="0.6">
      <c r="A120" s="959" t="s">
        <v>261</v>
      </c>
      <c r="B120" s="959"/>
      <c r="C120" s="149"/>
      <c r="D120" s="960"/>
      <c r="E120" s="961"/>
      <c r="F120" s="961"/>
      <c r="G120" s="960"/>
      <c r="H120" s="960"/>
      <c r="I120" s="960"/>
      <c r="J120" s="960">
        <f t="shared" ref="J120:O120" si="80">J119/I119-1</f>
        <v>6.8003597122302155</v>
      </c>
      <c r="K120" s="960">
        <f t="shared" si="80"/>
        <v>1.6486319268311429</v>
      </c>
      <c r="L120" s="960">
        <f t="shared" si="80"/>
        <v>0.59571718751586955</v>
      </c>
      <c r="M120" s="960">
        <f t="shared" si="80"/>
        <v>0.29145182050627483</v>
      </c>
      <c r="N120" s="960">
        <f t="shared" si="80"/>
        <v>0.14209533413894149</v>
      </c>
      <c r="O120" s="960">
        <f t="shared" si="80"/>
        <v>7.1014098916205803E-2</v>
      </c>
    </row>
    <row r="121" spans="1:15" x14ac:dyDescent="0.6">
      <c r="A121" s="959"/>
      <c r="B121" s="952"/>
      <c r="C121" s="975"/>
      <c r="D121" s="975"/>
      <c r="E121" s="975"/>
      <c r="F121" s="975"/>
      <c r="G121" s="976"/>
      <c r="H121" s="976"/>
      <c r="I121" s="976"/>
      <c r="J121" s="976"/>
      <c r="K121" s="976"/>
      <c r="L121" s="976"/>
      <c r="M121" s="976"/>
      <c r="N121" s="976"/>
      <c r="O121" s="976"/>
    </row>
    <row r="122" spans="1:15" x14ac:dyDescent="0.6">
      <c r="A122" s="954" t="s">
        <v>863</v>
      </c>
      <c r="B122" s="954"/>
      <c r="C122" s="953"/>
      <c r="D122" s="953">
        <f>D115/D92</f>
        <v>1932.0710743801656</v>
      </c>
      <c r="E122" s="953">
        <f>E115/E92</f>
        <v>3215.3680392575202</v>
      </c>
      <c r="F122" s="953">
        <f>F115/F92</f>
        <v>3250.784283933247</v>
      </c>
      <c r="G122" s="953">
        <f>G115/G92</f>
        <v>1725.2334668547244</v>
      </c>
      <c r="H122" s="953">
        <f>H115/H92</f>
        <v>2226.865206775964</v>
      </c>
      <c r="I122" s="953">
        <f t="shared" ref="I122:O122" si="81">H122*(1+I123)</f>
        <v>2627.7009439956373</v>
      </c>
      <c r="J122" s="953">
        <f t="shared" si="81"/>
        <v>2837.9170195152883</v>
      </c>
      <c r="K122" s="953">
        <f t="shared" si="81"/>
        <v>2979.8128704910528</v>
      </c>
      <c r="L122" s="953">
        <f t="shared" si="81"/>
        <v>3128.8035140156057</v>
      </c>
      <c r="M122" s="953">
        <f t="shared" si="81"/>
        <v>3285.2436897163861</v>
      </c>
      <c r="N122" s="953">
        <f t="shared" si="81"/>
        <v>3449.5058742022056</v>
      </c>
      <c r="O122" s="953">
        <f t="shared" si="81"/>
        <v>3621.9811679123159</v>
      </c>
    </row>
    <row r="123" spans="1:15" x14ac:dyDescent="0.6">
      <c r="A123" s="959" t="s">
        <v>261</v>
      </c>
      <c r="B123" s="959"/>
      <c r="C123" s="149"/>
      <c r="D123" s="960"/>
      <c r="E123" s="961">
        <f>E122/D122-1</f>
        <v>0.6642079486071979</v>
      </c>
      <c r="F123" s="961">
        <f>F122/E122-1</f>
        <v>1.101467833334091E-2</v>
      </c>
      <c r="G123" s="961">
        <f>G122/F122-1</f>
        <v>-0.46928700394499911</v>
      </c>
      <c r="H123" s="961">
        <f>H122/G122-1</f>
        <v>0.29076165606488336</v>
      </c>
      <c r="I123" s="986">
        <v>0.18</v>
      </c>
      <c r="J123" s="986">
        <v>0.08</v>
      </c>
      <c r="K123" s="986">
        <v>0.05</v>
      </c>
      <c r="L123" s="986">
        <v>0.05</v>
      </c>
      <c r="M123" s="986">
        <v>0.05</v>
      </c>
      <c r="N123" s="986">
        <v>0.05</v>
      </c>
      <c r="O123" s="986">
        <v>0.05</v>
      </c>
    </row>
    <row r="124" spans="1:15" x14ac:dyDescent="0.6">
      <c r="A124" s="954" t="s">
        <v>864</v>
      </c>
      <c r="B124" s="954"/>
      <c r="C124" s="953"/>
      <c r="D124" s="953">
        <f>D117/D87</f>
        <v>1280.312972356797</v>
      </c>
      <c r="E124" s="953">
        <f>E117/E87</f>
        <v>1064.5549739436622</v>
      </c>
      <c r="F124" s="953">
        <f>F117/F87</f>
        <v>1114.0411629653813</v>
      </c>
      <c r="G124" s="953">
        <f>G117/G87</f>
        <v>1321.9681231676154</v>
      </c>
      <c r="H124" s="953">
        <f>H117/H87</f>
        <v>1520.6768030769231</v>
      </c>
      <c r="I124" s="953">
        <f t="shared" ref="I124:O124" si="82">H124*(1+I125)</f>
        <v>1596.7106432307694</v>
      </c>
      <c r="J124" s="953">
        <f t="shared" si="82"/>
        <v>1756.3817075538466</v>
      </c>
      <c r="K124" s="953">
        <f t="shared" si="82"/>
        <v>1896.8922441581544</v>
      </c>
      <c r="L124" s="953">
        <f t="shared" si="82"/>
        <v>2010.7057788076438</v>
      </c>
      <c r="M124" s="953">
        <f t="shared" si="82"/>
        <v>2131.3481255361025</v>
      </c>
      <c r="N124" s="953">
        <f t="shared" si="82"/>
        <v>2259.2290130682686</v>
      </c>
      <c r="O124" s="953">
        <f t="shared" si="82"/>
        <v>2394.7827538523647</v>
      </c>
    </row>
    <row r="125" spans="1:15" x14ac:dyDescent="0.6">
      <c r="A125" s="959" t="s">
        <v>261</v>
      </c>
      <c r="B125" s="959"/>
      <c r="C125" s="149"/>
      <c r="D125" s="960"/>
      <c r="E125" s="961">
        <f>E124/D124-1</f>
        <v>-0.16851973155904842</v>
      </c>
      <c r="F125" s="961">
        <f>F124/E124-1</f>
        <v>4.6485329769675232E-2</v>
      </c>
      <c r="G125" s="961">
        <f>G124/F124-1</f>
        <v>0.18664208030587415</v>
      </c>
      <c r="H125" s="961">
        <f>H124/G124-1</f>
        <v>0.15031276203027844</v>
      </c>
      <c r="I125" s="986">
        <v>0.05</v>
      </c>
      <c r="J125" s="986">
        <v>0.1</v>
      </c>
      <c r="K125" s="986">
        <v>0.08</v>
      </c>
      <c r="L125" s="986">
        <v>0.06</v>
      </c>
      <c r="M125" s="986">
        <v>0.06</v>
      </c>
      <c r="N125" s="986">
        <v>0.06</v>
      </c>
      <c r="O125" s="986">
        <v>0.06</v>
      </c>
    </row>
    <row r="126" spans="1:15" x14ac:dyDescent="0.6">
      <c r="A126" s="1034" t="s">
        <v>1316</v>
      </c>
      <c r="B126" s="959"/>
      <c r="C126" s="149"/>
      <c r="D126" s="960"/>
      <c r="E126" s="961"/>
      <c r="F126" s="961"/>
      <c r="G126" s="986"/>
      <c r="H126" s="59">
        <v>1500</v>
      </c>
      <c r="I126" s="953">
        <f t="shared" ref="I126:O126" si="83">H126*(1+I127)</f>
        <v>2100</v>
      </c>
      <c r="J126" s="953">
        <f t="shared" si="83"/>
        <v>2205</v>
      </c>
      <c r="K126" s="953">
        <f t="shared" si="83"/>
        <v>2315.25</v>
      </c>
      <c r="L126" s="953">
        <f t="shared" si="83"/>
        <v>2431.0125000000003</v>
      </c>
      <c r="M126" s="953">
        <f t="shared" si="83"/>
        <v>2552.5631250000006</v>
      </c>
      <c r="N126" s="953">
        <f t="shared" si="83"/>
        <v>2680.1912812500009</v>
      </c>
      <c r="O126" s="953">
        <f t="shared" si="83"/>
        <v>2814.2008453125009</v>
      </c>
    </row>
    <row r="127" spans="1:15" x14ac:dyDescent="0.6">
      <c r="A127" s="959" t="s">
        <v>261</v>
      </c>
      <c r="B127" s="959"/>
      <c r="C127" s="149"/>
      <c r="D127" s="960"/>
      <c r="E127" s="961"/>
      <c r="F127" s="961"/>
      <c r="G127" s="986"/>
      <c r="H127" s="986"/>
      <c r="I127" s="986">
        <v>0.4</v>
      </c>
      <c r="J127" s="986">
        <v>0.05</v>
      </c>
      <c r="K127" s="986">
        <v>0.05</v>
      </c>
      <c r="L127" s="986">
        <v>0.05</v>
      </c>
      <c r="M127" s="986">
        <v>0.05</v>
      </c>
      <c r="N127" s="986">
        <v>0.05</v>
      </c>
      <c r="O127" s="986">
        <v>0.05</v>
      </c>
    </row>
    <row r="128" spans="1:15" x14ac:dyDescent="0.6">
      <c r="A128" s="959"/>
      <c r="B128" s="952"/>
      <c r="C128" s="975"/>
      <c r="D128" s="975"/>
      <c r="E128" s="975"/>
      <c r="F128" s="975"/>
      <c r="G128" s="976"/>
      <c r="H128" s="976"/>
      <c r="I128" s="976"/>
      <c r="J128" s="976"/>
      <c r="K128" s="976"/>
      <c r="L128" s="976"/>
      <c r="M128" s="976"/>
      <c r="N128" s="976"/>
      <c r="O128" s="976"/>
    </row>
    <row r="129" spans="1:15" x14ac:dyDescent="0.6">
      <c r="A129" s="40" t="s">
        <v>229</v>
      </c>
      <c r="B129" s="952"/>
      <c r="C129" s="975"/>
      <c r="D129" s="975"/>
      <c r="E129" s="975"/>
      <c r="F129" s="975"/>
      <c r="G129" s="976"/>
      <c r="H129" s="976"/>
      <c r="I129" s="976"/>
      <c r="J129" s="976"/>
      <c r="K129" s="976"/>
      <c r="L129" s="976"/>
      <c r="M129" s="976"/>
      <c r="N129" s="976"/>
      <c r="O129" s="976"/>
    </row>
    <row r="130" spans="1:15" x14ac:dyDescent="0.6">
      <c r="A130" s="955" t="s">
        <v>268</v>
      </c>
      <c r="B130" s="170">
        <v>124.777326</v>
      </c>
      <c r="C130" s="170">
        <v>126.19078200000001</v>
      </c>
      <c r="D130" s="170">
        <v>127.57552899999999</v>
      </c>
      <c r="E130" s="170">
        <v>128.93275299999999</v>
      </c>
      <c r="F130" s="170">
        <v>130.26222000000001</v>
      </c>
      <c r="G130" s="170">
        <v>131.56277499999999</v>
      </c>
      <c r="H130" s="170">
        <v>132.83376800000002</v>
      </c>
      <c r="I130" s="170">
        <v>134.07437899999999</v>
      </c>
      <c r="J130" s="170">
        <v>135.284064</v>
      </c>
      <c r="K130" s="170">
        <v>136.46207699999999</v>
      </c>
      <c r="L130" s="170">
        <v>137.608574</v>
      </c>
      <c r="M130" s="170">
        <v>138.725066</v>
      </c>
      <c r="N130" s="170">
        <v>139.81370000000001</v>
      </c>
      <c r="O130" s="170">
        <v>140.87576300000001</v>
      </c>
    </row>
    <row r="131" spans="1:15" x14ac:dyDescent="0.6">
      <c r="A131" s="955" t="s">
        <v>269</v>
      </c>
      <c r="B131" s="962">
        <v>26.9</v>
      </c>
      <c r="C131" s="406">
        <v>27.8</v>
      </c>
      <c r="D131" s="406">
        <v>29.2</v>
      </c>
      <c r="E131" s="957">
        <f t="shared" ref="E131:O131" si="84">E133*E134</f>
        <v>31.7690303392</v>
      </c>
      <c r="F131" s="957">
        <f t="shared" si="84"/>
        <v>40.558444819200005</v>
      </c>
      <c r="G131" s="957">
        <f t="shared" si="84"/>
        <v>49.509703488</v>
      </c>
      <c r="H131" s="957">
        <f t="shared" si="84"/>
        <v>58.616885143040015</v>
      </c>
      <c r="I131" s="957">
        <f t="shared" si="84"/>
        <v>67.873813624960007</v>
      </c>
      <c r="J131" s="957">
        <f t="shared" si="84"/>
        <v>77.274257356800007</v>
      </c>
      <c r="K131" s="957">
        <f t="shared" si="84"/>
        <v>86.811714904320013</v>
      </c>
      <c r="L131" s="957">
        <f t="shared" si="84"/>
        <v>96.480123402880025</v>
      </c>
      <c r="M131" s="957">
        <f t="shared" si="84"/>
        <v>106.27449856128004</v>
      </c>
      <c r="N131" s="957">
        <f t="shared" si="84"/>
        <v>116.19077724800005</v>
      </c>
      <c r="O131" s="957">
        <f t="shared" si="84"/>
        <v>126.22468364800002</v>
      </c>
    </row>
    <row r="132" spans="1:15" x14ac:dyDescent="0.6">
      <c r="A132" s="955" t="s">
        <v>272</v>
      </c>
      <c r="B132" s="977">
        <v>0.1</v>
      </c>
      <c r="C132" s="978">
        <f>C133/C130</f>
        <v>0.10013697859772067</v>
      </c>
      <c r="D132" s="978">
        <f>D133/D130</f>
        <v>0.10310091015302122</v>
      </c>
      <c r="E132" s="987">
        <v>0.11</v>
      </c>
      <c r="F132" s="979">
        <f t="shared" ref="F132:N132" si="85">($O132-$E132)/($O$1-$E$1)+E132</f>
        <v>0.13900000000000001</v>
      </c>
      <c r="G132" s="978">
        <f t="shared" si="85"/>
        <v>0.16800000000000001</v>
      </c>
      <c r="H132" s="978">
        <f t="shared" si="85"/>
        <v>0.19700000000000001</v>
      </c>
      <c r="I132" s="978">
        <f t="shared" si="85"/>
        <v>0.22600000000000001</v>
      </c>
      <c r="J132" s="978">
        <f t="shared" si="85"/>
        <v>0.255</v>
      </c>
      <c r="K132" s="978">
        <f t="shared" si="85"/>
        <v>0.28400000000000003</v>
      </c>
      <c r="L132" s="978">
        <f t="shared" si="85"/>
        <v>0.31300000000000006</v>
      </c>
      <c r="M132" s="978">
        <f t="shared" si="85"/>
        <v>0.34200000000000008</v>
      </c>
      <c r="N132" s="978">
        <f t="shared" si="85"/>
        <v>0.37100000000000011</v>
      </c>
      <c r="O132" s="980">
        <v>0.4</v>
      </c>
    </row>
    <row r="133" spans="1:15" x14ac:dyDescent="0.6">
      <c r="A133" s="955" t="s">
        <v>273</v>
      </c>
      <c r="B133" s="957">
        <f>B132*B130</f>
        <v>12.477732600000001</v>
      </c>
      <c r="C133" s="957">
        <f>C131/C134</f>
        <v>12.636363636363635</v>
      </c>
      <c r="D133" s="957">
        <f>D131/D134</f>
        <v>13.153153153153152</v>
      </c>
      <c r="E133" s="957">
        <f t="shared" ref="E133:O133" si="86">E132*E130</f>
        <v>14.182602829999999</v>
      </c>
      <c r="F133" s="957">
        <f t="shared" si="86"/>
        <v>18.106448580000002</v>
      </c>
      <c r="G133" s="957">
        <f t="shared" si="86"/>
        <v>22.102546199999999</v>
      </c>
      <c r="H133" s="957">
        <f t="shared" si="86"/>
        <v>26.168252296000006</v>
      </c>
      <c r="I133" s="957">
        <f t="shared" si="86"/>
        <v>30.300809653999998</v>
      </c>
      <c r="J133" s="957">
        <f t="shared" si="86"/>
        <v>34.497436319999998</v>
      </c>
      <c r="K133" s="957">
        <f t="shared" si="86"/>
        <v>38.755229868000001</v>
      </c>
      <c r="L133" s="957">
        <f t="shared" si="86"/>
        <v>43.071483662000006</v>
      </c>
      <c r="M133" s="957">
        <f t="shared" si="86"/>
        <v>47.443972572000014</v>
      </c>
      <c r="N133" s="957">
        <f t="shared" si="86"/>
        <v>51.870882700000017</v>
      </c>
      <c r="O133" s="957">
        <f t="shared" si="86"/>
        <v>56.350305200000008</v>
      </c>
    </row>
    <row r="134" spans="1:15" x14ac:dyDescent="0.6">
      <c r="A134" s="955" t="s">
        <v>274</v>
      </c>
      <c r="B134" s="981">
        <f>B131/B133</f>
        <v>2.1558403968362003</v>
      </c>
      <c r="C134" s="269">
        <v>2.2000000000000002</v>
      </c>
      <c r="D134" s="269">
        <v>2.2200000000000002</v>
      </c>
      <c r="E134" s="269">
        <v>2.2400000000000002</v>
      </c>
      <c r="F134" s="269">
        <f t="shared" ref="F134:O134" si="87">E134</f>
        <v>2.2400000000000002</v>
      </c>
      <c r="G134" s="269">
        <f t="shared" si="87"/>
        <v>2.2400000000000002</v>
      </c>
      <c r="H134" s="269">
        <f t="shared" si="87"/>
        <v>2.2400000000000002</v>
      </c>
      <c r="I134" s="269">
        <f t="shared" si="87"/>
        <v>2.2400000000000002</v>
      </c>
      <c r="J134" s="269">
        <f t="shared" si="87"/>
        <v>2.2400000000000002</v>
      </c>
      <c r="K134" s="269">
        <f t="shared" si="87"/>
        <v>2.2400000000000002</v>
      </c>
      <c r="L134" s="269">
        <f t="shared" si="87"/>
        <v>2.2400000000000002</v>
      </c>
      <c r="M134" s="269">
        <f t="shared" si="87"/>
        <v>2.2400000000000002</v>
      </c>
      <c r="N134" s="269">
        <f t="shared" si="87"/>
        <v>2.2400000000000002</v>
      </c>
      <c r="O134" s="269">
        <f t="shared" si="87"/>
        <v>2.2400000000000002</v>
      </c>
    </row>
    <row r="135" spans="1:15" x14ac:dyDescent="0.6">
      <c r="A135" s="955"/>
      <c r="B135" s="955"/>
      <c r="C135" s="975"/>
      <c r="D135" s="975"/>
      <c r="E135" s="975"/>
      <c r="F135" s="975"/>
      <c r="G135" s="976"/>
      <c r="H135" s="976"/>
      <c r="I135" s="976"/>
      <c r="J135" s="976"/>
      <c r="K135" s="976"/>
      <c r="L135" s="976"/>
      <c r="M135" s="976"/>
      <c r="N135" s="976"/>
      <c r="O135" s="976"/>
    </row>
    <row r="136" spans="1:15" x14ac:dyDescent="0.6">
      <c r="A136" s="955" t="s">
        <v>276</v>
      </c>
      <c r="B136" s="955"/>
      <c r="C136" s="980">
        <f>C26</f>
        <v>0</v>
      </c>
      <c r="D136" s="980">
        <v>0</v>
      </c>
      <c r="E136" s="987">
        <v>0</v>
      </c>
      <c r="F136" s="988">
        <f t="shared" ref="F136:O136" si="88">F137/F$8</f>
        <v>2.5974025974025972E-2</v>
      </c>
      <c r="G136" s="988">
        <f t="shared" si="88"/>
        <v>4.2895442359249338E-2</v>
      </c>
      <c r="H136" s="988">
        <f t="shared" si="88"/>
        <v>5.5378061767838119E-2</v>
      </c>
      <c r="I136" s="988">
        <f t="shared" si="88"/>
        <v>9.8933002313071894E-2</v>
      </c>
      <c r="J136" s="988">
        <f t="shared" si="88"/>
        <v>0.14371002643425304</v>
      </c>
      <c r="K136" s="988">
        <f t="shared" si="88"/>
        <v>0.17456605513652382</v>
      </c>
      <c r="L136" s="988">
        <f t="shared" si="88"/>
        <v>0.20190979918573662</v>
      </c>
      <c r="M136" s="988">
        <f t="shared" si="88"/>
        <v>0.22144629016534267</v>
      </c>
      <c r="N136" s="988">
        <f t="shared" si="88"/>
        <v>0.22877639750103265</v>
      </c>
      <c r="O136" s="988">
        <f t="shared" si="88"/>
        <v>0.23035986327791422</v>
      </c>
    </row>
    <row r="137" spans="1:15" x14ac:dyDescent="0.6">
      <c r="A137" s="168" t="s">
        <v>279</v>
      </c>
      <c r="B137" s="168"/>
      <c r="C137" s="1000">
        <f t="shared" ref="C137:H137" si="89">C22</f>
        <v>0</v>
      </c>
      <c r="D137" s="1000">
        <f t="shared" si="89"/>
        <v>0</v>
      </c>
      <c r="E137" s="1000">
        <f t="shared" si="89"/>
        <v>0</v>
      </c>
      <c r="F137" s="1000">
        <f t="shared" si="89"/>
        <v>1.0675324675324676</v>
      </c>
      <c r="G137" s="1000">
        <f t="shared" si="89"/>
        <v>2.6252010723860595</v>
      </c>
      <c r="H137" s="1000">
        <f t="shared" si="89"/>
        <v>4.3194888178913731</v>
      </c>
      <c r="I137" s="1000">
        <f t="shared" ref="I137:O137" si="90">H137+I138</f>
        <v>9.3194888178913722</v>
      </c>
      <c r="J137" s="1000">
        <f>I137+J138</f>
        <v>15.319488817891372</v>
      </c>
      <c r="K137" s="1000">
        <f t="shared" si="90"/>
        <v>20.319488817891372</v>
      </c>
      <c r="L137" s="1000">
        <f t="shared" si="90"/>
        <v>25.319488817891372</v>
      </c>
      <c r="M137" s="1000">
        <f t="shared" si="90"/>
        <v>29.319488817891372</v>
      </c>
      <c r="N137" s="1000">
        <f t="shared" si="90"/>
        <v>31.319488817891372</v>
      </c>
      <c r="O137" s="1000">
        <f t="shared" si="90"/>
        <v>32.319488817891369</v>
      </c>
    </row>
    <row r="138" spans="1:15" x14ac:dyDescent="0.6">
      <c r="A138" s="955" t="s">
        <v>677</v>
      </c>
      <c r="B138" s="955"/>
      <c r="C138" s="957">
        <f t="shared" ref="C138:H138" si="91">C137-B137</f>
        <v>0</v>
      </c>
      <c r="D138" s="957">
        <f t="shared" si="91"/>
        <v>0</v>
      </c>
      <c r="E138" s="957">
        <f t="shared" si="91"/>
        <v>0</v>
      </c>
      <c r="F138" s="957">
        <f t="shared" si="91"/>
        <v>1.0675324675324676</v>
      </c>
      <c r="G138" s="957">
        <f t="shared" si="91"/>
        <v>1.5576686048535919</v>
      </c>
      <c r="H138" s="957">
        <f t="shared" si="91"/>
        <v>1.6942877455053136</v>
      </c>
      <c r="I138" s="956">
        <v>5</v>
      </c>
      <c r="J138" s="956">
        <v>6</v>
      </c>
      <c r="K138" s="956">
        <v>5</v>
      </c>
      <c r="L138" s="956">
        <v>5</v>
      </c>
      <c r="M138" s="956">
        <v>4</v>
      </c>
      <c r="N138" s="956">
        <v>2</v>
      </c>
      <c r="O138" s="956">
        <v>1</v>
      </c>
    </row>
    <row r="139" spans="1:15" x14ac:dyDescent="0.6">
      <c r="A139" s="955" t="s">
        <v>271</v>
      </c>
      <c r="B139" s="955"/>
      <c r="C139" s="989">
        <v>0.9</v>
      </c>
      <c r="D139" s="989">
        <v>0.9</v>
      </c>
      <c r="E139" s="989">
        <v>0.9</v>
      </c>
      <c r="F139" s="989">
        <v>0.9</v>
      </c>
      <c r="G139" s="989">
        <v>0.9</v>
      </c>
      <c r="H139" s="989">
        <v>0.9</v>
      </c>
      <c r="I139" s="989">
        <v>0.5</v>
      </c>
      <c r="J139" s="989">
        <v>0.56999999999999995</v>
      </c>
      <c r="K139" s="989">
        <v>0.66</v>
      </c>
      <c r="L139" s="989">
        <v>0.7</v>
      </c>
      <c r="M139" s="989">
        <v>0.7</v>
      </c>
      <c r="N139" s="989">
        <v>0.7</v>
      </c>
      <c r="O139" s="989">
        <v>0.7</v>
      </c>
    </row>
    <row r="140" spans="1:15" x14ac:dyDescent="0.6">
      <c r="A140" s="955" t="s">
        <v>275</v>
      </c>
      <c r="B140" s="955"/>
      <c r="C140" s="957">
        <f t="shared" ref="C140:H140" si="92">C139*C137</f>
        <v>0</v>
      </c>
      <c r="D140" s="957">
        <f t="shared" si="92"/>
        <v>0</v>
      </c>
      <c r="E140" s="957">
        <f t="shared" si="92"/>
        <v>0</v>
      </c>
      <c r="F140" s="957">
        <f t="shared" si="92"/>
        <v>0.96077922077922084</v>
      </c>
      <c r="G140" s="957">
        <f t="shared" si="92"/>
        <v>2.3626809651474536</v>
      </c>
      <c r="H140" s="957">
        <f t="shared" si="92"/>
        <v>3.887539936102236</v>
      </c>
      <c r="I140" s="957">
        <f t="shared" ref="I140:O140" si="93">I139*I137</f>
        <v>4.6597444089456861</v>
      </c>
      <c r="J140" s="957">
        <f t="shared" si="93"/>
        <v>8.732108626198082</v>
      </c>
      <c r="K140" s="957">
        <f t="shared" si="93"/>
        <v>13.410862619808306</v>
      </c>
      <c r="L140" s="957">
        <f t="shared" si="93"/>
        <v>17.723642172523959</v>
      </c>
      <c r="M140" s="957">
        <f t="shared" si="93"/>
        <v>20.52364217252396</v>
      </c>
      <c r="N140" s="957">
        <f t="shared" si="93"/>
        <v>21.923642172523959</v>
      </c>
      <c r="O140" s="957">
        <f t="shared" si="93"/>
        <v>22.623642172523958</v>
      </c>
    </row>
    <row r="141" spans="1:15" x14ac:dyDescent="0.6">
      <c r="A141" s="955"/>
      <c r="B141" s="955"/>
      <c r="C141" s="989"/>
      <c r="D141" s="989"/>
      <c r="E141" s="982"/>
      <c r="F141" s="982"/>
      <c r="G141" s="989"/>
      <c r="H141" s="989"/>
      <c r="I141" s="989"/>
      <c r="J141" s="989"/>
      <c r="K141" s="989"/>
      <c r="L141" s="989"/>
      <c r="M141" s="989"/>
      <c r="N141" s="989"/>
      <c r="O141" s="989"/>
    </row>
    <row r="142" spans="1:15" x14ac:dyDescent="0.6">
      <c r="A142" s="168" t="s">
        <v>282</v>
      </c>
      <c r="B142" s="168"/>
      <c r="C142" s="998">
        <f>C140/C131</f>
        <v>0</v>
      </c>
      <c r="D142" s="998">
        <f>D140/D131</f>
        <v>0</v>
      </c>
      <c r="E142" s="999">
        <f>E140/E131</f>
        <v>0</v>
      </c>
      <c r="F142" s="999">
        <f>F140/F131</f>
        <v>2.3688758902422131E-2</v>
      </c>
      <c r="G142" s="999">
        <f>G140/G131</f>
        <v>4.7721573725847753E-2</v>
      </c>
      <c r="H142" s="999">
        <f t="shared" ref="H142:O142" si="94">H140/H131</f>
        <v>6.6321162010155532E-2</v>
      </c>
      <c r="I142" s="999">
        <f t="shared" si="94"/>
        <v>6.8653051303310078E-2</v>
      </c>
      <c r="J142" s="999">
        <f t="shared" si="94"/>
        <v>0.11300152113891096</v>
      </c>
      <c r="K142" s="999">
        <f t="shared" si="94"/>
        <v>0.15448217598960184</v>
      </c>
      <c r="L142" s="999">
        <f t="shared" si="94"/>
        <v>0.18370252387130437</v>
      </c>
      <c r="M142" s="999">
        <f t="shared" si="94"/>
        <v>0.1931191626436102</v>
      </c>
      <c r="N142" s="999">
        <f t="shared" si="94"/>
        <v>0.18868659537176238</v>
      </c>
      <c r="O142" s="999">
        <f t="shared" si="94"/>
        <v>0.17923310654209287</v>
      </c>
    </row>
    <row r="143" spans="1:15" x14ac:dyDescent="0.6">
      <c r="A143" s="168"/>
      <c r="B143" s="168"/>
      <c r="C143" s="978"/>
      <c r="D143" s="978"/>
      <c r="E143" s="979"/>
      <c r="F143" s="990"/>
      <c r="G143" s="988"/>
      <c r="H143" s="988"/>
      <c r="I143" s="988"/>
      <c r="J143" s="988"/>
      <c r="K143" s="988"/>
      <c r="L143" s="988"/>
      <c r="M143" s="988"/>
      <c r="N143" s="988"/>
      <c r="O143" s="988"/>
    </row>
    <row r="144" spans="1:15" x14ac:dyDescent="0.6">
      <c r="A144" s="955" t="s">
        <v>257</v>
      </c>
      <c r="B144" s="952"/>
      <c r="C144" s="492">
        <v>0</v>
      </c>
      <c r="D144" s="492">
        <v>0</v>
      </c>
      <c r="E144" s="492">
        <v>0</v>
      </c>
      <c r="F144" s="951">
        <f>F91</f>
        <v>0.05</v>
      </c>
      <c r="G144" s="951">
        <f>G91</f>
        <v>8.1699346405228759E-2</v>
      </c>
      <c r="H144" s="951">
        <f>H91</f>
        <v>9.1025641025641021E-2</v>
      </c>
      <c r="I144" s="492">
        <v>0.08</v>
      </c>
      <c r="J144" s="492">
        <v>0.09</v>
      </c>
      <c r="K144" s="492">
        <v>0.11</v>
      </c>
      <c r="L144" s="492">
        <v>0.13</v>
      </c>
      <c r="M144" s="492">
        <v>0.14000000000000001</v>
      </c>
      <c r="N144" s="492">
        <v>0.15</v>
      </c>
      <c r="O144" s="492">
        <v>0.15</v>
      </c>
    </row>
    <row r="145" spans="1:15" x14ac:dyDescent="0.6">
      <c r="A145" s="955" t="s">
        <v>260</v>
      </c>
      <c r="B145" s="952"/>
      <c r="C145" s="178">
        <f t="shared" ref="C145:O145" si="95">C144*C$137</f>
        <v>0</v>
      </c>
      <c r="D145" s="211">
        <f t="shared" si="95"/>
        <v>0</v>
      </c>
      <c r="E145" s="211">
        <f t="shared" si="95"/>
        <v>0</v>
      </c>
      <c r="F145" s="211">
        <f t="shared" si="95"/>
        <v>5.3376623376623383E-2</v>
      </c>
      <c r="G145" s="211">
        <f t="shared" si="95"/>
        <v>0.21447721179624668</v>
      </c>
      <c r="H145" s="211">
        <f t="shared" si="95"/>
        <v>0.39318423855165063</v>
      </c>
      <c r="I145" s="211">
        <f t="shared" si="95"/>
        <v>0.74555910543130977</v>
      </c>
      <c r="J145" s="211">
        <f t="shared" si="95"/>
        <v>1.3787539936102235</v>
      </c>
      <c r="K145" s="211">
        <f t="shared" si="95"/>
        <v>2.235143769968051</v>
      </c>
      <c r="L145" s="211">
        <f t="shared" si="95"/>
        <v>3.2915335463258786</v>
      </c>
      <c r="M145" s="211">
        <f t="shared" si="95"/>
        <v>4.1047284345047927</v>
      </c>
      <c r="N145" s="211">
        <f t="shared" si="95"/>
        <v>4.6979233226837058</v>
      </c>
      <c r="O145" s="211">
        <f t="shared" si="95"/>
        <v>4.8479233226837053</v>
      </c>
    </row>
    <row r="146" spans="1:15" x14ac:dyDescent="0.6">
      <c r="A146" s="955"/>
      <c r="B146" s="952"/>
      <c r="C146" s="975"/>
      <c r="D146" s="975"/>
      <c r="E146" s="975"/>
      <c r="F146" s="975"/>
      <c r="G146" s="991"/>
      <c r="H146" s="976"/>
      <c r="I146" s="976"/>
      <c r="J146" s="976"/>
      <c r="K146" s="976"/>
      <c r="L146" s="976"/>
      <c r="M146" s="976"/>
      <c r="N146" s="976"/>
      <c r="O146" s="976"/>
    </row>
    <row r="147" spans="1:15" x14ac:dyDescent="0.6">
      <c r="A147" s="168" t="s">
        <v>284</v>
      </c>
      <c r="B147" s="40"/>
      <c r="C147" s="23">
        <f t="shared" ref="C147:O147" si="96">C148+C151</f>
        <v>0</v>
      </c>
      <c r="D147" s="23">
        <f t="shared" si="96"/>
        <v>0</v>
      </c>
      <c r="E147" s="23">
        <f t="shared" si="96"/>
        <v>0</v>
      </c>
      <c r="F147" s="23">
        <f t="shared" si="96"/>
        <v>155.20285714285714</v>
      </c>
      <c r="G147" s="23">
        <f t="shared" si="96"/>
        <v>424.92225201072392</v>
      </c>
      <c r="H147" s="23">
        <f>H148+H151</f>
        <v>780.80000000000007</v>
      </c>
      <c r="I147" s="23">
        <f t="shared" si="96"/>
        <v>1121.9754454885128</v>
      </c>
      <c r="J147" s="23">
        <f t="shared" si="96"/>
        <v>2457.9016147595635</v>
      </c>
      <c r="K147" s="23">
        <f t="shared" si="96"/>
        <v>4492.960840853405</v>
      </c>
      <c r="L147" s="23">
        <f t="shared" si="96"/>
        <v>6714.5946006594313</v>
      </c>
      <c r="M147" s="23">
        <f t="shared" si="96"/>
        <v>8727.7031311881437</v>
      </c>
      <c r="N147" s="23">
        <f t="shared" si="96"/>
        <v>10460.747443069511</v>
      </c>
      <c r="O147" s="23">
        <f t="shared" si="96"/>
        <v>11874.223528256687</v>
      </c>
    </row>
    <row r="148" spans="1:15" x14ac:dyDescent="0.6">
      <c r="A148" s="954" t="s">
        <v>179</v>
      </c>
      <c r="B148" s="954"/>
      <c r="C148" s="149">
        <v>0</v>
      </c>
      <c r="D148" s="59">
        <v>0</v>
      </c>
      <c r="E148" s="953">
        <f>E149*E37</f>
        <v>0</v>
      </c>
      <c r="F148" s="953">
        <f>F149*F37</f>
        <v>31.034025974025969</v>
      </c>
      <c r="G148" s="953">
        <f>G149*G37</f>
        <v>71.764075067024137</v>
      </c>
      <c r="H148" s="953">
        <f>H149*H37</f>
        <v>160.10000000000002</v>
      </c>
      <c r="I148" s="953">
        <f t="shared" ref="I148:O148" si="97">I155*I145</f>
        <v>303.58290357529802</v>
      </c>
      <c r="J148" s="953">
        <f t="shared" si="97"/>
        <v>617.55366061755171</v>
      </c>
      <c r="K148" s="953">
        <f t="shared" si="97"/>
        <v>1101.2503651137599</v>
      </c>
      <c r="L148" s="953">
        <f t="shared" si="97"/>
        <v>1783.9043846830996</v>
      </c>
      <c r="M148" s="953">
        <f t="shared" si="97"/>
        <v>2447.092591981042</v>
      </c>
      <c r="N148" s="953">
        <f t="shared" si="97"/>
        <v>3080.8076340434741</v>
      </c>
      <c r="O148" s="953">
        <f t="shared" si="97"/>
        <v>3497.0922195840212</v>
      </c>
    </row>
    <row r="149" spans="1:15" x14ac:dyDescent="0.6">
      <c r="A149" s="954" t="s">
        <v>1300</v>
      </c>
      <c r="B149" s="954"/>
      <c r="C149" s="149"/>
      <c r="D149" s="59"/>
      <c r="E149" s="273">
        <f>E136</f>
        <v>0</v>
      </c>
      <c r="F149" s="273">
        <f>F136</f>
        <v>2.5974025974025972E-2</v>
      </c>
      <c r="G149" s="273">
        <f>G136</f>
        <v>4.2895442359249338E-2</v>
      </c>
      <c r="H149" s="273">
        <v>0.05</v>
      </c>
      <c r="I149" s="973">
        <f t="shared" ref="I149:O149" si="98">I148/I37</f>
        <v>5.9344586625900482E-2</v>
      </c>
      <c r="J149" s="973">
        <f t="shared" si="98"/>
        <v>8.6733201619702105E-2</v>
      </c>
      <c r="K149" s="973">
        <f t="shared" si="98"/>
        <v>0.11872536241982176</v>
      </c>
      <c r="L149" s="973">
        <f t="shared" si="98"/>
        <v>0.15124424152097057</v>
      </c>
      <c r="M149" s="973">
        <f t="shared" si="98"/>
        <v>0.17005995511718761</v>
      </c>
      <c r="N149" s="973">
        <f t="shared" si="98"/>
        <v>0.18641158887393963</v>
      </c>
      <c r="O149" s="973">
        <f t="shared" si="98"/>
        <v>0.18809670381230173</v>
      </c>
    </row>
    <row r="150" spans="1:15" x14ac:dyDescent="0.6">
      <c r="A150" s="959" t="s">
        <v>261</v>
      </c>
      <c r="B150" s="959"/>
      <c r="C150" s="149"/>
      <c r="D150" s="961"/>
      <c r="E150" s="961"/>
      <c r="F150" s="961"/>
      <c r="G150" s="960"/>
      <c r="H150" s="960">
        <f t="shared" ref="H150:O150" si="99">H148/G148-1</f>
        <v>1.2309212492528392</v>
      </c>
      <c r="I150" s="960">
        <f t="shared" si="99"/>
        <v>0.89620801733477817</v>
      </c>
      <c r="J150" s="960">
        <f t="shared" si="99"/>
        <v>1.0342175179979436</v>
      </c>
      <c r="K150" s="960">
        <f t="shared" si="99"/>
        <v>0.78324643726103571</v>
      </c>
      <c r="L150" s="960">
        <f t="shared" si="99"/>
        <v>0.61988993710691842</v>
      </c>
      <c r="M150" s="960">
        <f t="shared" si="99"/>
        <v>0.3717621936423201</v>
      </c>
      <c r="N150" s="960">
        <f t="shared" si="99"/>
        <v>0.25896651566805184</v>
      </c>
      <c r="O150" s="960">
        <f t="shared" si="99"/>
        <v>0.13512190145873704</v>
      </c>
    </row>
    <row r="151" spans="1:15" x14ac:dyDescent="0.6">
      <c r="A151" s="954" t="s">
        <v>255</v>
      </c>
      <c r="B151" s="954"/>
      <c r="C151" s="149">
        <v>0</v>
      </c>
      <c r="D151" s="59">
        <v>0</v>
      </c>
      <c r="E151" s="953">
        <f>E152*E39</f>
        <v>0</v>
      </c>
      <c r="F151" s="953">
        <f>F152*F39</f>
        <v>124.16883116883116</v>
      </c>
      <c r="G151" s="953">
        <f>G152*G39</f>
        <v>353.1581769436998</v>
      </c>
      <c r="H151" s="953">
        <f>H152*H39</f>
        <v>620.70000000000005</v>
      </c>
      <c r="I151" s="953">
        <f>I157*I140</f>
        <v>818.39254191321493</v>
      </c>
      <c r="J151" s="953">
        <f t="shared" ref="J151:O151" si="100">J157*J140</f>
        <v>1840.3479541420118</v>
      </c>
      <c r="K151" s="953">
        <f t="shared" si="100"/>
        <v>3391.7104757396451</v>
      </c>
      <c r="L151" s="953">
        <f t="shared" si="100"/>
        <v>4930.6902159763313</v>
      </c>
      <c r="M151" s="953">
        <f t="shared" si="100"/>
        <v>6280.6105392071022</v>
      </c>
      <c r="N151" s="953">
        <f t="shared" si="100"/>
        <v>7379.9398090260374</v>
      </c>
      <c r="O151" s="953">
        <f t="shared" si="100"/>
        <v>8377.1313086726659</v>
      </c>
    </row>
    <row r="152" spans="1:15" x14ac:dyDescent="0.6">
      <c r="A152" s="954" t="s">
        <v>1301</v>
      </c>
      <c r="B152" s="954"/>
      <c r="C152" s="149"/>
      <c r="D152" s="59"/>
      <c r="E152" s="273">
        <f>E149</f>
        <v>0</v>
      </c>
      <c r="F152" s="273">
        <f>F149</f>
        <v>2.5974025974025972E-2</v>
      </c>
      <c r="G152" s="273">
        <f>G149</f>
        <v>4.2895442359249338E-2</v>
      </c>
      <c r="H152" s="273">
        <f>H149</f>
        <v>0.05</v>
      </c>
      <c r="I152" s="973">
        <f t="shared" ref="I152:O152" si="101">I151/I39</f>
        <v>5.923542816382877E-2</v>
      </c>
      <c r="J152" s="973">
        <f t="shared" si="101"/>
        <v>0.10521797239289302</v>
      </c>
      <c r="K152" s="973">
        <f t="shared" si="101"/>
        <v>0.15554517389083325</v>
      </c>
      <c r="L152" s="973">
        <f t="shared" si="101"/>
        <v>0.19021267537735609</v>
      </c>
      <c r="M152" s="973">
        <f t="shared" si="101"/>
        <v>0.20992613980172278</v>
      </c>
      <c r="N152" s="973">
        <f t="shared" si="101"/>
        <v>0.21790662841616784</v>
      </c>
      <c r="O152" s="973">
        <f t="shared" si="101"/>
        <v>0.22047685419486746</v>
      </c>
    </row>
    <row r="153" spans="1:15" x14ac:dyDescent="0.6">
      <c r="A153" s="959" t="s">
        <v>261</v>
      </c>
      <c r="B153" s="959"/>
      <c r="C153" s="149"/>
      <c r="D153" s="960"/>
      <c r="E153" s="961"/>
      <c r="F153" s="961"/>
      <c r="G153" s="960"/>
      <c r="H153" s="960">
        <f t="shared" ref="H153:O153" si="102">H151/G151-1</f>
        <v>0.75756938540021834</v>
      </c>
      <c r="I153" s="960">
        <f t="shared" si="102"/>
        <v>0.31849934253780399</v>
      </c>
      <c r="J153" s="960">
        <f t="shared" si="102"/>
        <v>1.2487350017140897</v>
      </c>
      <c r="K153" s="960">
        <f t="shared" si="102"/>
        <v>0.84297239448987438</v>
      </c>
      <c r="L153" s="960">
        <f t="shared" si="102"/>
        <v>0.45374737945492649</v>
      </c>
      <c r="M153" s="960">
        <f t="shared" si="102"/>
        <v>0.27377917981072586</v>
      </c>
      <c r="N153" s="960">
        <f t="shared" si="102"/>
        <v>0.17503541462351535</v>
      </c>
      <c r="O153" s="960">
        <f t="shared" si="102"/>
        <v>0.13512190145873726</v>
      </c>
    </row>
    <row r="154" spans="1:15" x14ac:dyDescent="0.6">
      <c r="A154" s="959"/>
      <c r="B154" s="952"/>
      <c r="C154" s="975"/>
      <c r="D154" s="975"/>
      <c r="E154" s="975"/>
      <c r="F154" s="975"/>
      <c r="G154" s="976"/>
      <c r="H154" s="976"/>
      <c r="I154" s="976"/>
      <c r="J154" s="976"/>
      <c r="K154" s="976"/>
      <c r="L154" s="976"/>
      <c r="M154" s="976"/>
      <c r="N154" s="976"/>
      <c r="O154" s="976"/>
    </row>
    <row r="155" spans="1:15" x14ac:dyDescent="0.6">
      <c r="A155" s="954" t="s">
        <v>258</v>
      </c>
      <c r="B155" s="954"/>
      <c r="C155" s="953"/>
      <c r="D155" s="953"/>
      <c r="E155" s="59"/>
      <c r="F155" s="953">
        <f>F148/F145</f>
        <v>581.41605839416047</v>
      </c>
      <c r="G155" s="953">
        <f>G148/G145</f>
        <v>334.59999999999997</v>
      </c>
      <c r="H155" s="953">
        <f>H148/H145</f>
        <v>407.18824485373796</v>
      </c>
      <c r="I155" s="953">
        <f t="shared" ref="I155:O155" si="103">H155*(1+I156)</f>
        <v>407.18824485373796</v>
      </c>
      <c r="J155" s="953">
        <f t="shared" si="103"/>
        <v>447.90706933911179</v>
      </c>
      <c r="K155" s="953">
        <f t="shared" si="103"/>
        <v>492.69777627302301</v>
      </c>
      <c r="L155" s="953">
        <f t="shared" si="103"/>
        <v>541.96755390032536</v>
      </c>
      <c r="M155" s="953">
        <f t="shared" si="103"/>
        <v>596.16430929035789</v>
      </c>
      <c r="N155" s="953">
        <f t="shared" si="103"/>
        <v>655.78074021939369</v>
      </c>
      <c r="O155" s="953">
        <f t="shared" si="103"/>
        <v>721.35881424133311</v>
      </c>
    </row>
    <row r="156" spans="1:15" x14ac:dyDescent="0.6">
      <c r="A156" s="959" t="s">
        <v>261</v>
      </c>
      <c r="B156" s="959"/>
      <c r="C156" s="149"/>
      <c r="D156" s="960"/>
      <c r="E156" s="961"/>
      <c r="F156" s="992"/>
      <c r="G156" s="993"/>
      <c r="H156" s="993"/>
      <c r="I156" s="315">
        <v>0</v>
      </c>
      <c r="J156" s="315">
        <v>0.1</v>
      </c>
      <c r="K156" s="315">
        <v>0.1</v>
      </c>
      <c r="L156" s="315">
        <v>0.1</v>
      </c>
      <c r="M156" s="315">
        <v>0.1</v>
      </c>
      <c r="N156" s="315">
        <v>0.1</v>
      </c>
      <c r="O156" s="315">
        <v>0.1</v>
      </c>
    </row>
    <row r="157" spans="1:15" x14ac:dyDescent="0.6">
      <c r="A157" s="954" t="s">
        <v>259</v>
      </c>
      <c r="B157" s="954"/>
      <c r="C157" s="953"/>
      <c r="D157" s="953"/>
      <c r="E157" s="59"/>
      <c r="F157" s="953">
        <f>F151/F140</f>
        <v>129.23763179237631</v>
      </c>
      <c r="G157" s="953">
        <f>G151/G140</f>
        <v>149.47349310094407</v>
      </c>
      <c r="H157" s="953">
        <f>H151/H140</f>
        <v>159.6639546351085</v>
      </c>
      <c r="I157" s="953">
        <f t="shared" ref="I157:O157" si="104">H157*(1+I158)</f>
        <v>175.63035009861935</v>
      </c>
      <c r="J157" s="953">
        <f t="shared" si="104"/>
        <v>210.75642011834321</v>
      </c>
      <c r="K157" s="953">
        <f t="shared" si="104"/>
        <v>252.90770414201185</v>
      </c>
      <c r="L157" s="953">
        <f t="shared" si="104"/>
        <v>278.19847455621306</v>
      </c>
      <c r="M157" s="953">
        <f t="shared" si="104"/>
        <v>306.01832201183441</v>
      </c>
      <c r="N157" s="953">
        <f t="shared" si="104"/>
        <v>336.62015421301788</v>
      </c>
      <c r="O157" s="953">
        <f t="shared" si="104"/>
        <v>370.2821696343197</v>
      </c>
    </row>
    <row r="158" spans="1:15" x14ac:dyDescent="0.6">
      <c r="A158" s="959" t="s">
        <v>261</v>
      </c>
      <c r="B158" s="959"/>
      <c r="C158" s="149"/>
      <c r="D158" s="960"/>
      <c r="E158" s="961"/>
      <c r="F158" s="994"/>
      <c r="G158" s="993"/>
      <c r="H158" s="986"/>
      <c r="I158" s="986">
        <v>0.1</v>
      </c>
      <c r="J158" s="986">
        <v>0.2</v>
      </c>
      <c r="K158" s="986">
        <v>0.2</v>
      </c>
      <c r="L158" s="986">
        <v>0.1</v>
      </c>
      <c r="M158" s="986">
        <v>0.1</v>
      </c>
      <c r="N158" s="986">
        <v>0.1</v>
      </c>
      <c r="O158" s="986">
        <v>0.1</v>
      </c>
    </row>
    <row r="159" spans="1:15" x14ac:dyDescent="0.6">
      <c r="A159" s="168"/>
      <c r="B159" s="168"/>
      <c r="C159" s="978"/>
      <c r="D159" s="978"/>
      <c r="E159" s="979"/>
      <c r="F159" s="990"/>
      <c r="G159" s="988"/>
      <c r="H159" s="988"/>
      <c r="I159" s="988"/>
      <c r="J159" s="988"/>
      <c r="K159" s="988"/>
      <c r="L159" s="988"/>
      <c r="M159" s="988"/>
      <c r="N159" s="988"/>
      <c r="O159" s="988"/>
    </row>
    <row r="160" spans="1:15" x14ac:dyDescent="0.6">
      <c r="A160" s="40" t="s">
        <v>230</v>
      </c>
      <c r="B160" s="952"/>
      <c r="C160" s="975"/>
      <c r="D160" s="975"/>
      <c r="E160" s="975"/>
      <c r="F160" s="975"/>
      <c r="G160" s="976"/>
      <c r="H160" s="976"/>
      <c r="I160" s="976"/>
      <c r="J160" s="976"/>
      <c r="K160" s="976"/>
      <c r="L160" s="976"/>
      <c r="M160" s="976"/>
      <c r="N160" s="976"/>
      <c r="O160" s="976"/>
    </row>
    <row r="161" spans="1:15" x14ac:dyDescent="0.6">
      <c r="A161" s="955" t="s">
        <v>268</v>
      </c>
      <c r="B161" s="170">
        <v>48.909844</v>
      </c>
      <c r="C161" s="170">
        <v>49.661055999999995</v>
      </c>
      <c r="D161" s="170">
        <v>50.339443000000003</v>
      </c>
      <c r="E161" s="170">
        <v>50.882883999999997</v>
      </c>
      <c r="F161" s="170">
        <v>51.265841000000002</v>
      </c>
      <c r="G161" s="170">
        <v>51.512766000000006</v>
      </c>
      <c r="H161" s="170">
        <v>51.672846</v>
      </c>
      <c r="I161" s="170">
        <v>51.819750999999997</v>
      </c>
      <c r="J161" s="170">
        <v>52.00705</v>
      </c>
      <c r="K161" s="170">
        <v>52.249392999999998</v>
      </c>
      <c r="L161" s="170">
        <v>52.530216000000003</v>
      </c>
      <c r="M161" s="170">
        <v>52.834564</v>
      </c>
      <c r="N161" s="170">
        <v>53.136448999999999</v>
      </c>
      <c r="O161" s="170">
        <v>53.416767</v>
      </c>
    </row>
    <row r="162" spans="1:15" x14ac:dyDescent="0.6">
      <c r="A162" s="955" t="s">
        <v>269</v>
      </c>
      <c r="B162" s="962">
        <v>14.89</v>
      </c>
      <c r="C162" s="962">
        <v>15.286</v>
      </c>
      <c r="D162" s="962">
        <v>16.053999999999998</v>
      </c>
      <c r="E162" s="957">
        <f t="shared" ref="E162:O162" si="105">E164*E165</f>
        <v>17.096649024000001</v>
      </c>
      <c r="F162" s="957">
        <f t="shared" si="105"/>
        <v>20.670387091200002</v>
      </c>
      <c r="G162" s="957">
        <f t="shared" si="105"/>
        <v>24.231605126400005</v>
      </c>
      <c r="H162" s="957">
        <f t="shared" si="105"/>
        <v>27.779322009600001</v>
      </c>
      <c r="I162" s="957">
        <f t="shared" si="105"/>
        <v>31.340585404800002</v>
      </c>
      <c r="J162" s="957">
        <f t="shared" si="105"/>
        <v>34.948737600000008</v>
      </c>
      <c r="K162" s="957">
        <f t="shared" si="105"/>
        <v>38.622751305600012</v>
      </c>
      <c r="L162" s="957">
        <f t="shared" si="105"/>
        <v>42.360366182400014</v>
      </c>
      <c r="M162" s="957">
        <f t="shared" si="105"/>
        <v>46.156275110400024</v>
      </c>
      <c r="N162" s="957">
        <f t="shared" si="105"/>
        <v>49.99077121920002</v>
      </c>
      <c r="O162" s="957">
        <f t="shared" si="105"/>
        <v>53.844101136000006</v>
      </c>
    </row>
    <row r="163" spans="1:15" x14ac:dyDescent="0.6">
      <c r="A163" s="955" t="s">
        <v>272</v>
      </c>
      <c r="B163" s="977">
        <v>0.13900000000000001</v>
      </c>
      <c r="C163" s="995">
        <f>C164/C161</f>
        <v>0.13991208358883506</v>
      </c>
      <c r="D163" s="995">
        <f>D164/D161</f>
        <v>0.14365537440554377</v>
      </c>
      <c r="E163" s="987">
        <v>0.15</v>
      </c>
      <c r="F163" s="996">
        <f t="shared" ref="F163:N163" si="106">($O163-$E163)/($O$1-$E$1)+E163</f>
        <v>0.18</v>
      </c>
      <c r="G163" s="995">
        <f t="shared" si="106"/>
        <v>0.21</v>
      </c>
      <c r="H163" s="995">
        <f t="shared" si="106"/>
        <v>0.24</v>
      </c>
      <c r="I163" s="995">
        <f t="shared" si="106"/>
        <v>0.27</v>
      </c>
      <c r="J163" s="995">
        <f t="shared" si="106"/>
        <v>0.30000000000000004</v>
      </c>
      <c r="K163" s="995">
        <f t="shared" si="106"/>
        <v>0.33000000000000007</v>
      </c>
      <c r="L163" s="995">
        <f t="shared" si="106"/>
        <v>0.3600000000000001</v>
      </c>
      <c r="M163" s="995">
        <f t="shared" si="106"/>
        <v>0.39000000000000012</v>
      </c>
      <c r="N163" s="995">
        <f t="shared" si="106"/>
        <v>0.42000000000000015</v>
      </c>
      <c r="O163" s="980">
        <v>0.45</v>
      </c>
    </row>
    <row r="164" spans="1:15" x14ac:dyDescent="0.6">
      <c r="A164" s="955" t="s">
        <v>273</v>
      </c>
      <c r="B164" s="957">
        <f>B163*B161</f>
        <v>6.7984683160000001</v>
      </c>
      <c r="C164" s="957">
        <f>C162/C165</f>
        <v>6.9481818181818173</v>
      </c>
      <c r="D164" s="957">
        <f>D162/D165</f>
        <v>7.2315315315315303</v>
      </c>
      <c r="E164" s="957">
        <f t="shared" ref="E164:O164" si="107">E163*E161</f>
        <v>7.6324325999999996</v>
      </c>
      <c r="F164" s="957">
        <f t="shared" si="107"/>
        <v>9.2278513800000006</v>
      </c>
      <c r="G164" s="957">
        <f t="shared" si="107"/>
        <v>10.817680860000001</v>
      </c>
      <c r="H164" s="957">
        <f t="shared" si="107"/>
        <v>12.401483039999999</v>
      </c>
      <c r="I164" s="957">
        <f t="shared" si="107"/>
        <v>13.99133277</v>
      </c>
      <c r="J164" s="957">
        <f t="shared" si="107"/>
        <v>15.602115000000001</v>
      </c>
      <c r="K164" s="957">
        <f t="shared" si="107"/>
        <v>17.242299690000003</v>
      </c>
      <c r="L164" s="957">
        <f t="shared" si="107"/>
        <v>18.910877760000005</v>
      </c>
      <c r="M164" s="957">
        <f t="shared" si="107"/>
        <v>20.605479960000007</v>
      </c>
      <c r="N164" s="957">
        <f t="shared" si="107"/>
        <v>22.317308580000006</v>
      </c>
      <c r="O164" s="957">
        <f t="shared" si="107"/>
        <v>24.03754515</v>
      </c>
    </row>
    <row r="165" spans="1:15" x14ac:dyDescent="0.6">
      <c r="A165" s="955" t="s">
        <v>274</v>
      </c>
      <c r="B165" s="981">
        <f>B162/B164</f>
        <v>2.1901992195737403</v>
      </c>
      <c r="C165" s="169">
        <v>2.2000000000000002</v>
      </c>
      <c r="D165" s="169">
        <v>2.2200000000000002</v>
      </c>
      <c r="E165" s="169">
        <v>2.2400000000000002</v>
      </c>
      <c r="F165" s="169">
        <f t="shared" ref="F165:O165" si="108">E165</f>
        <v>2.2400000000000002</v>
      </c>
      <c r="G165" s="169">
        <f t="shared" si="108"/>
        <v>2.2400000000000002</v>
      </c>
      <c r="H165" s="169">
        <f t="shared" si="108"/>
        <v>2.2400000000000002</v>
      </c>
      <c r="I165" s="169">
        <f t="shared" si="108"/>
        <v>2.2400000000000002</v>
      </c>
      <c r="J165" s="169">
        <f t="shared" si="108"/>
        <v>2.2400000000000002</v>
      </c>
      <c r="K165" s="169">
        <f t="shared" si="108"/>
        <v>2.2400000000000002</v>
      </c>
      <c r="L165" s="169">
        <f t="shared" si="108"/>
        <v>2.2400000000000002</v>
      </c>
      <c r="M165" s="169">
        <f t="shared" si="108"/>
        <v>2.2400000000000002</v>
      </c>
      <c r="N165" s="169">
        <f t="shared" si="108"/>
        <v>2.2400000000000002</v>
      </c>
      <c r="O165" s="169">
        <f t="shared" si="108"/>
        <v>2.2400000000000002</v>
      </c>
    </row>
    <row r="166" spans="1:15" x14ac:dyDescent="0.6">
      <c r="A166" s="955"/>
      <c r="B166" s="955"/>
      <c r="C166" s="975"/>
      <c r="D166" s="975"/>
      <c r="E166" s="975"/>
      <c r="F166" s="975"/>
      <c r="G166" s="976"/>
      <c r="H166" s="976"/>
      <c r="I166" s="976"/>
      <c r="J166" s="976"/>
      <c r="K166" s="976"/>
      <c r="L166" s="976"/>
      <c r="M166" s="976"/>
      <c r="N166" s="976"/>
      <c r="O166" s="976"/>
    </row>
    <row r="167" spans="1:15" x14ac:dyDescent="0.6">
      <c r="A167" s="955" t="s">
        <v>277</v>
      </c>
      <c r="B167" s="955"/>
      <c r="C167" s="988">
        <f>C168/C$8</f>
        <v>0</v>
      </c>
      <c r="D167" s="988">
        <f>D168/D$8</f>
        <v>0</v>
      </c>
      <c r="E167" s="988">
        <f>E168/E$8</f>
        <v>0</v>
      </c>
      <c r="F167" s="988">
        <f>F168/F$8</f>
        <v>1.8552875695732854E-3</v>
      </c>
      <c r="G167" s="988">
        <f t="shared" ref="G167:O167" si="109">G168/G$8</f>
        <v>6.7024128686325535E-3</v>
      </c>
      <c r="H167" s="988">
        <f t="shared" si="109"/>
        <v>9.5846645367413021E-3</v>
      </c>
      <c r="I167" s="988">
        <f t="shared" si="109"/>
        <v>1.0059488682227403E-2</v>
      </c>
      <c r="J167" s="988">
        <f t="shared" si="109"/>
        <v>1.2641686996865119E-2</v>
      </c>
      <c r="K167" s="988">
        <f t="shared" si="109"/>
        <v>1.845020475829744E-2</v>
      </c>
      <c r="L167" s="988">
        <f t="shared" si="109"/>
        <v>2.5100509041992201E-2</v>
      </c>
      <c r="M167" s="988">
        <f t="shared" si="109"/>
        <v>3.1326312944605902E-2</v>
      </c>
      <c r="N167" s="988">
        <f t="shared" si="109"/>
        <v>3.3948895791569185E-2</v>
      </c>
      <c r="O167" s="988">
        <f t="shared" si="109"/>
        <v>3.5977219058202579E-2</v>
      </c>
    </row>
    <row r="168" spans="1:15" x14ac:dyDescent="0.6">
      <c r="A168" s="168" t="s">
        <v>280</v>
      </c>
      <c r="B168" s="955"/>
      <c r="C168" s="1000">
        <f t="shared" ref="C168:H168" si="110">C23</f>
        <v>0</v>
      </c>
      <c r="D168" s="1000">
        <f t="shared" si="110"/>
        <v>0</v>
      </c>
      <c r="E168" s="1000">
        <f t="shared" si="110"/>
        <v>0</v>
      </c>
      <c r="F168" s="1000">
        <f t="shared" si="110"/>
        <v>7.6252319109462036E-2</v>
      </c>
      <c r="G168" s="1000">
        <f t="shared" si="110"/>
        <v>0.41018766756031227</v>
      </c>
      <c r="H168" s="1000">
        <f t="shared" si="110"/>
        <v>0.74760383386582152</v>
      </c>
      <c r="I168" s="1000">
        <f t="shared" ref="I168:O168" si="111">H168+I169</f>
        <v>0.94760383386582148</v>
      </c>
      <c r="J168" s="1000">
        <f t="shared" si="111"/>
        <v>1.3476038338658216</v>
      </c>
      <c r="K168" s="1000">
        <f t="shared" si="111"/>
        <v>2.1476038338658219</v>
      </c>
      <c r="L168" s="1000">
        <f t="shared" si="111"/>
        <v>3.1476038338658219</v>
      </c>
      <c r="M168" s="1000">
        <f t="shared" si="111"/>
        <v>4.1476038338658219</v>
      </c>
      <c r="N168" s="1000">
        <f t="shared" si="111"/>
        <v>4.6476038338658219</v>
      </c>
      <c r="O168" s="1000">
        <f t="shared" si="111"/>
        <v>5.0476038338658222</v>
      </c>
    </row>
    <row r="169" spans="1:15" x14ac:dyDescent="0.6">
      <c r="A169" s="955" t="s">
        <v>677</v>
      </c>
      <c r="B169" s="955"/>
      <c r="C169" s="957"/>
      <c r="D169" s="957">
        <f>D168-C168</f>
        <v>0</v>
      </c>
      <c r="E169" s="957">
        <f>E168-D168</f>
        <v>0</v>
      </c>
      <c r="F169" s="957">
        <f>F168-E168</f>
        <v>7.6252319109462036E-2</v>
      </c>
      <c r="G169" s="957">
        <f>G168-F168</f>
        <v>0.33393534845085027</v>
      </c>
      <c r="H169" s="957">
        <f>H168-G168</f>
        <v>0.33741616630550925</v>
      </c>
      <c r="I169" s="956">
        <v>0.2</v>
      </c>
      <c r="J169" s="956">
        <v>0.4</v>
      </c>
      <c r="K169" s="956">
        <v>0.8</v>
      </c>
      <c r="L169" s="956">
        <v>1</v>
      </c>
      <c r="M169" s="956">
        <v>1</v>
      </c>
      <c r="N169" s="956">
        <v>0.5</v>
      </c>
      <c r="O169" s="956">
        <v>0.4</v>
      </c>
    </row>
    <row r="170" spans="1:15" x14ac:dyDescent="0.6">
      <c r="A170" s="955" t="s">
        <v>271</v>
      </c>
      <c r="B170" s="955"/>
      <c r="C170" s="982">
        <v>0.5</v>
      </c>
      <c r="D170" s="982">
        <v>0.5</v>
      </c>
      <c r="E170" s="982">
        <v>0.5</v>
      </c>
      <c r="F170" s="982">
        <v>0.5</v>
      </c>
      <c r="G170" s="982">
        <v>0.5</v>
      </c>
      <c r="H170" s="982">
        <v>0.5</v>
      </c>
      <c r="I170" s="982">
        <v>0.5</v>
      </c>
      <c r="J170" s="982">
        <v>0.5</v>
      </c>
      <c r="K170" s="982">
        <v>0.5</v>
      </c>
      <c r="L170" s="982">
        <v>0.5</v>
      </c>
      <c r="M170" s="982">
        <v>0.5</v>
      </c>
      <c r="N170" s="982">
        <v>0.5</v>
      </c>
      <c r="O170" s="982">
        <v>0.5</v>
      </c>
    </row>
    <row r="171" spans="1:15" x14ac:dyDescent="0.6">
      <c r="A171" s="955" t="s">
        <v>275</v>
      </c>
      <c r="B171" s="955"/>
      <c r="C171" s="957">
        <f t="shared" ref="C171:G171" si="112">C170*C168</f>
        <v>0</v>
      </c>
      <c r="D171" s="957">
        <f t="shared" si="112"/>
        <v>0</v>
      </c>
      <c r="E171" s="957">
        <f t="shared" si="112"/>
        <v>0</v>
      </c>
      <c r="F171" s="957">
        <f t="shared" si="112"/>
        <v>3.8126159554731018E-2</v>
      </c>
      <c r="G171" s="957">
        <f t="shared" si="112"/>
        <v>0.20509383378015614</v>
      </c>
      <c r="H171" s="957">
        <f>H170*H168</f>
        <v>0.37380191693291076</v>
      </c>
      <c r="I171" s="957">
        <f t="shared" ref="I171:O171" si="113">I170*I168</f>
        <v>0.47380191693291074</v>
      </c>
      <c r="J171" s="957">
        <f t="shared" si="113"/>
        <v>0.6738019169329108</v>
      </c>
      <c r="K171" s="957">
        <f t="shared" si="113"/>
        <v>1.0738019169329109</v>
      </c>
      <c r="L171" s="957">
        <f t="shared" si="113"/>
        <v>1.5738019169329109</v>
      </c>
      <c r="M171" s="957">
        <f t="shared" si="113"/>
        <v>2.0738019169329109</v>
      </c>
      <c r="N171" s="957">
        <f t="shared" si="113"/>
        <v>2.3238019169329109</v>
      </c>
      <c r="O171" s="957">
        <f t="shared" si="113"/>
        <v>2.5238019169329111</v>
      </c>
    </row>
    <row r="172" spans="1:15" x14ac:dyDescent="0.6">
      <c r="A172" s="955"/>
      <c r="B172" s="955"/>
      <c r="C172" s="997"/>
      <c r="D172" s="997"/>
      <c r="E172" s="997"/>
      <c r="F172" s="997"/>
      <c r="G172" s="997"/>
      <c r="H172" s="997"/>
      <c r="I172" s="997"/>
      <c r="J172" s="997"/>
      <c r="K172" s="997"/>
      <c r="L172" s="997"/>
      <c r="M172" s="997"/>
      <c r="N172" s="997"/>
      <c r="O172" s="997"/>
    </row>
    <row r="173" spans="1:15" x14ac:dyDescent="0.6">
      <c r="A173" s="168" t="s">
        <v>283</v>
      </c>
      <c r="B173" s="168"/>
      <c r="C173" s="1001">
        <f>C171/C162</f>
        <v>0</v>
      </c>
      <c r="D173" s="1001">
        <f>D171/D162</f>
        <v>0</v>
      </c>
      <c r="E173" s="1001">
        <f>E171/E162</f>
        <v>0</v>
      </c>
      <c r="F173" s="1001">
        <f t="shared" ref="F173:O173" si="114">F171/F162</f>
        <v>1.8444821273309612E-3</v>
      </c>
      <c r="G173" s="1001">
        <f t="shared" si="114"/>
        <v>8.4638979840716035E-3</v>
      </c>
      <c r="H173" s="1001">
        <f t="shared" si="114"/>
        <v>1.3456120952258373E-2</v>
      </c>
      <c r="I173" s="1001">
        <f t="shared" si="114"/>
        <v>1.5117838764439451E-2</v>
      </c>
      <c r="J173" s="1001">
        <f t="shared" si="114"/>
        <v>1.9279721191786642E-2</v>
      </c>
      <c r="K173" s="1001">
        <f t="shared" si="114"/>
        <v>2.7802315491108415E-2</v>
      </c>
      <c r="L173" s="1001">
        <f t="shared" si="114"/>
        <v>3.7152698589909688E-2</v>
      </c>
      <c r="M173" s="1001">
        <f t="shared" si="114"/>
        <v>4.4930010317614164E-2</v>
      </c>
      <c r="N173" s="1001">
        <f t="shared" si="114"/>
        <v>4.648461826570912E-2</v>
      </c>
      <c r="O173" s="1001">
        <f t="shared" si="114"/>
        <v>4.6872393886904437E-2</v>
      </c>
    </row>
    <row r="174" spans="1:15" x14ac:dyDescent="0.6">
      <c r="A174" s="168"/>
      <c r="B174" s="168"/>
      <c r="C174" s="996"/>
      <c r="D174" s="996"/>
      <c r="E174" s="996"/>
      <c r="F174" s="990"/>
      <c r="G174" s="988"/>
      <c r="H174" s="988"/>
      <c r="I174" s="988"/>
      <c r="J174" s="988"/>
      <c r="K174" s="988"/>
      <c r="L174" s="988"/>
      <c r="M174" s="988"/>
      <c r="N174" s="988"/>
      <c r="O174" s="988"/>
    </row>
    <row r="175" spans="1:15" x14ac:dyDescent="0.6">
      <c r="A175" s="955" t="s">
        <v>257</v>
      </c>
      <c r="B175" s="952"/>
      <c r="C175" s="492">
        <v>0</v>
      </c>
      <c r="D175" s="492">
        <v>0</v>
      </c>
      <c r="E175" s="492">
        <v>0</v>
      </c>
      <c r="F175" s="492">
        <v>0</v>
      </c>
      <c r="G175" s="492">
        <v>0</v>
      </c>
      <c r="H175" s="492">
        <v>0</v>
      </c>
      <c r="I175" s="492">
        <v>0</v>
      </c>
      <c r="J175" s="492">
        <v>0.01</v>
      </c>
      <c r="K175" s="492">
        <v>0.03</v>
      </c>
      <c r="L175" s="492">
        <v>0.05</v>
      </c>
      <c r="M175" s="492">
        <f>L175</f>
        <v>0.05</v>
      </c>
      <c r="N175" s="492">
        <f>M175</f>
        <v>0.05</v>
      </c>
      <c r="O175" s="492">
        <f>N175</f>
        <v>0.05</v>
      </c>
    </row>
    <row r="176" spans="1:15" x14ac:dyDescent="0.6">
      <c r="A176" s="955" t="s">
        <v>260</v>
      </c>
      <c r="B176" s="952"/>
      <c r="C176" s="178">
        <f t="shared" ref="C176:O176" si="115">C175*C$168</f>
        <v>0</v>
      </c>
      <c r="D176" s="211">
        <f t="shared" si="115"/>
        <v>0</v>
      </c>
      <c r="E176" s="211">
        <f t="shared" si="115"/>
        <v>0</v>
      </c>
      <c r="F176" s="211">
        <f t="shared" si="115"/>
        <v>0</v>
      </c>
      <c r="G176" s="211">
        <f t="shared" si="115"/>
        <v>0</v>
      </c>
      <c r="H176" s="211">
        <f t="shared" si="115"/>
        <v>0</v>
      </c>
      <c r="I176" s="211">
        <f t="shared" si="115"/>
        <v>0</v>
      </c>
      <c r="J176" s="211">
        <f t="shared" si="115"/>
        <v>1.3476038338658217E-2</v>
      </c>
      <c r="K176" s="211">
        <f t="shared" si="115"/>
        <v>6.442811501597466E-2</v>
      </c>
      <c r="L176" s="211">
        <f t="shared" si="115"/>
        <v>0.15738019169329109</v>
      </c>
      <c r="M176" s="211">
        <f t="shared" si="115"/>
        <v>0.20738019169329111</v>
      </c>
      <c r="N176" s="211">
        <f t="shared" si="115"/>
        <v>0.2323801916932911</v>
      </c>
      <c r="O176" s="211">
        <f t="shared" si="115"/>
        <v>0.25238019169329112</v>
      </c>
    </row>
    <row r="177" spans="1:15" x14ac:dyDescent="0.6">
      <c r="A177" s="955"/>
      <c r="B177" s="952"/>
      <c r="C177" s="975"/>
      <c r="D177" s="975"/>
      <c r="E177" s="975"/>
      <c r="F177" s="975"/>
      <c r="G177" s="976"/>
      <c r="H177" s="976"/>
      <c r="I177" s="976"/>
      <c r="J177" s="976"/>
      <c r="K177" s="976"/>
      <c r="L177" s="976"/>
      <c r="M177" s="976"/>
      <c r="N177" s="976"/>
      <c r="O177" s="976"/>
    </row>
    <row r="178" spans="1:15" x14ac:dyDescent="0.6">
      <c r="A178" s="955" t="s">
        <v>1302</v>
      </c>
      <c r="B178" s="952"/>
      <c r="C178" s="953">
        <f t="shared" ref="C178:H178" si="116">C179+C182</f>
        <v>0</v>
      </c>
      <c r="D178" s="953">
        <f t="shared" si="116"/>
        <v>0</v>
      </c>
      <c r="E178" s="953">
        <f t="shared" si="116"/>
        <v>0</v>
      </c>
      <c r="F178" s="953">
        <f t="shared" si="116"/>
        <v>4.9273345701917171</v>
      </c>
      <c r="G178" s="953">
        <f t="shared" si="116"/>
        <v>30.656091748584338</v>
      </c>
      <c r="H178" s="953">
        <f t="shared" si="116"/>
        <v>59.682692307692861</v>
      </c>
      <c r="I178" s="953">
        <f t="shared" ref="I178:O178" si="117">I179+I182</f>
        <v>83.213996548324076</v>
      </c>
      <c r="J178" s="953">
        <f t="shared" si="117"/>
        <v>148.04409272022747</v>
      </c>
      <c r="K178" s="953">
        <f t="shared" si="117"/>
        <v>303.3163665126271</v>
      </c>
      <c r="L178" s="953">
        <f t="shared" si="117"/>
        <v>523.12425006875708</v>
      </c>
      <c r="M178" s="953">
        <f t="shared" si="117"/>
        <v>758.25405154606801</v>
      </c>
      <c r="N178" s="953">
        <f t="shared" si="117"/>
        <v>934.62901375941408</v>
      </c>
      <c r="O178" s="953">
        <f t="shared" si="117"/>
        <v>1116.5755253470463</v>
      </c>
    </row>
    <row r="179" spans="1:15" x14ac:dyDescent="0.6">
      <c r="A179" s="954" t="s">
        <v>179</v>
      </c>
      <c r="B179" s="954"/>
      <c r="C179" s="172">
        <v>0</v>
      </c>
      <c r="D179" s="173">
        <v>0</v>
      </c>
      <c r="E179" s="953">
        <f>E180*E37</f>
        <v>0</v>
      </c>
      <c r="F179" s="953">
        <f>F180*F37</f>
        <v>0</v>
      </c>
      <c r="G179" s="953">
        <f>G180*G37</f>
        <v>0</v>
      </c>
      <c r="H179" s="953">
        <f>H180*H37</f>
        <v>0</v>
      </c>
      <c r="I179" s="1003">
        <f t="shared" ref="I179:O179" si="118">I186*I176</f>
        <v>0</v>
      </c>
      <c r="J179" s="1003">
        <f t="shared" si="118"/>
        <v>6.0360128385699152</v>
      </c>
      <c r="K179" s="1003">
        <f t="shared" si="118"/>
        <v>31.743588997833278</v>
      </c>
      <c r="L179" s="1003">
        <f t="shared" si="118"/>
        <v>85.294957524377281</v>
      </c>
      <c r="M179" s="1003">
        <f t="shared" si="118"/>
        <v>123.63266874133291</v>
      </c>
      <c r="N179" s="1003">
        <f t="shared" si="118"/>
        <v>152.39045412095103</v>
      </c>
      <c r="O179" s="1003">
        <f t="shared" si="118"/>
        <v>182.05667581787284</v>
      </c>
    </row>
    <row r="180" spans="1:15" x14ac:dyDescent="0.6">
      <c r="A180" s="954" t="s">
        <v>1300</v>
      </c>
      <c r="B180" s="959"/>
      <c r="C180" s="149"/>
      <c r="D180" s="961"/>
      <c r="E180" s="273">
        <v>0</v>
      </c>
      <c r="F180" s="273">
        <v>0</v>
      </c>
      <c r="G180" s="273">
        <v>0</v>
      </c>
      <c r="H180" s="273">
        <v>0</v>
      </c>
      <c r="I180" s="973">
        <f t="shared" ref="I180:O180" si="119">I179/I37</f>
        <v>0</v>
      </c>
      <c r="J180" s="973">
        <f t="shared" si="119"/>
        <v>8.4773640234481619E-4</v>
      </c>
      <c r="K180" s="973">
        <f t="shared" si="119"/>
        <v>3.4222636628904149E-3</v>
      </c>
      <c r="L180" s="973">
        <f t="shared" si="119"/>
        <v>7.2315373329997846E-3</v>
      </c>
      <c r="M180" s="973">
        <f t="shared" si="119"/>
        <v>8.591814697190699E-3</v>
      </c>
      <c r="N180" s="973">
        <f t="shared" si="119"/>
        <v>9.2207466535727291E-3</v>
      </c>
      <c r="O180" s="973">
        <f t="shared" si="119"/>
        <v>9.7922097783397916E-3</v>
      </c>
    </row>
    <row r="181" spans="1:15" x14ac:dyDescent="0.6">
      <c r="A181" s="959" t="s">
        <v>261</v>
      </c>
      <c r="B181" s="954"/>
      <c r="C181" s="953"/>
      <c r="D181" s="953"/>
      <c r="E181" s="961"/>
      <c r="F181" s="961"/>
      <c r="G181" s="961"/>
      <c r="H181" s="961"/>
      <c r="I181" s="961"/>
      <c r="J181" s="961"/>
      <c r="K181" s="961">
        <f t="shared" ref="K181:O181" si="120">K179/J179-1</f>
        <v>4.2590327169274449</v>
      </c>
      <c r="L181" s="961">
        <f t="shared" si="120"/>
        <v>1.686997917286519</v>
      </c>
      <c r="M181" s="961">
        <f t="shared" si="120"/>
        <v>0.44947218838814385</v>
      </c>
      <c r="N181" s="961">
        <f t="shared" si="120"/>
        <v>0.23260668618086555</v>
      </c>
      <c r="O181" s="961">
        <f t="shared" si="120"/>
        <v>0.19467244105313819</v>
      </c>
    </row>
    <row r="182" spans="1:15" x14ac:dyDescent="0.6">
      <c r="A182" s="954" t="s">
        <v>255</v>
      </c>
      <c r="B182" s="959"/>
      <c r="C182" s="149"/>
      <c r="D182" s="967"/>
      <c r="E182" s="1003">
        <f t="shared" ref="E182:H182" si="121">E188*E171</f>
        <v>0</v>
      </c>
      <c r="F182" s="1003">
        <f t="shared" si="121"/>
        <v>4.9273345701917171</v>
      </c>
      <c r="G182" s="1003">
        <f t="shared" si="121"/>
        <v>30.656091748584338</v>
      </c>
      <c r="H182" s="1003">
        <f t="shared" si="121"/>
        <v>59.682692307692861</v>
      </c>
      <c r="I182" s="1003">
        <f t="shared" ref="I182:O182" si="122">I188*I171</f>
        <v>83.213996548324076</v>
      </c>
      <c r="J182" s="1003">
        <f t="shared" si="122"/>
        <v>142.00807988165755</v>
      </c>
      <c r="K182" s="1003">
        <f t="shared" si="122"/>
        <v>271.57277751479381</v>
      </c>
      <c r="L182" s="1003">
        <f t="shared" si="122"/>
        <v>437.82929254437977</v>
      </c>
      <c r="M182" s="1003">
        <f t="shared" si="122"/>
        <v>634.62138280473505</v>
      </c>
      <c r="N182" s="1003">
        <f t="shared" si="122"/>
        <v>782.23855963846302</v>
      </c>
      <c r="O182" s="1003">
        <f t="shared" si="122"/>
        <v>934.51884952917339</v>
      </c>
    </row>
    <row r="183" spans="1:15" x14ac:dyDescent="0.6">
      <c r="A183" s="954" t="s">
        <v>1301</v>
      </c>
      <c r="B183" s="952"/>
      <c r="C183" s="975"/>
      <c r="D183" s="975"/>
      <c r="E183" s="273">
        <v>0</v>
      </c>
      <c r="F183" s="273">
        <v>0</v>
      </c>
      <c r="G183" s="273">
        <v>0</v>
      </c>
      <c r="H183" s="273">
        <v>0</v>
      </c>
      <c r="I183" s="973">
        <f>I182/I39</f>
        <v>6.0230469637955926E-3</v>
      </c>
      <c r="J183" s="973">
        <f t="shared" ref="J183:O183" si="123">J182/J39</f>
        <v>8.1190093400147281E-3</v>
      </c>
      <c r="K183" s="973">
        <f t="shared" si="123"/>
        <v>1.2454434187323525E-2</v>
      </c>
      <c r="L183" s="973">
        <f t="shared" si="123"/>
        <v>1.6890268389524263E-2</v>
      </c>
      <c r="M183" s="973">
        <f t="shared" si="123"/>
        <v>2.1211889560126793E-2</v>
      </c>
      <c r="N183" s="973">
        <f t="shared" si="123"/>
        <v>2.3097067396059507E-2</v>
      </c>
      <c r="O183" s="973">
        <f t="shared" si="123"/>
        <v>2.4595505136309641E-2</v>
      </c>
    </row>
    <row r="184" spans="1:15" x14ac:dyDescent="0.6">
      <c r="A184" s="959" t="s">
        <v>261</v>
      </c>
      <c r="B184" s="954"/>
      <c r="C184" s="953"/>
      <c r="D184" s="953"/>
      <c r="E184" s="961"/>
      <c r="F184" s="961"/>
      <c r="G184" s="961"/>
      <c r="H184" s="961"/>
      <c r="I184" s="961"/>
      <c r="J184" s="961">
        <f t="shared" ref="J184:O184" si="124">J182/I182-1</f>
        <v>0.70654079568442008</v>
      </c>
      <c r="K184" s="961">
        <f t="shared" si="124"/>
        <v>0.91237553342816136</v>
      </c>
      <c r="L184" s="961">
        <f t="shared" si="124"/>
        <v>0.61219875037191174</v>
      </c>
      <c r="M184" s="961">
        <f t="shared" si="124"/>
        <v>0.44947218838814407</v>
      </c>
      <c r="N184" s="961">
        <f t="shared" si="124"/>
        <v>0.23260668618086555</v>
      </c>
      <c r="O184" s="961">
        <f t="shared" si="124"/>
        <v>0.19467244105313819</v>
      </c>
    </row>
    <row r="185" spans="1:15" x14ac:dyDescent="0.6">
      <c r="A185" s="959"/>
      <c r="B185" s="959"/>
      <c r="C185" s="149"/>
      <c r="D185" s="967"/>
      <c r="E185" s="961"/>
      <c r="F185" s="992"/>
      <c r="G185" s="1004"/>
      <c r="H185" s="961"/>
      <c r="I185" s="961"/>
      <c r="J185" s="961"/>
      <c r="K185" s="961"/>
      <c r="L185" s="961"/>
      <c r="M185" s="961"/>
      <c r="N185" s="961"/>
      <c r="O185" s="961"/>
    </row>
    <row r="186" spans="1:15" x14ac:dyDescent="0.6">
      <c r="A186" s="954" t="s">
        <v>258</v>
      </c>
      <c r="B186" s="954"/>
      <c r="C186" s="953"/>
      <c r="D186" s="953"/>
      <c r="E186" s="953"/>
      <c r="F186" s="953"/>
      <c r="G186" s="953"/>
      <c r="H186" s="953"/>
      <c r="I186" s="953">
        <f>I155</f>
        <v>407.18824485373796</v>
      </c>
      <c r="J186" s="953">
        <f t="shared" ref="J186:O186" si="125">J155</f>
        <v>447.90706933911179</v>
      </c>
      <c r="K186" s="953">
        <f t="shared" si="125"/>
        <v>492.69777627302301</v>
      </c>
      <c r="L186" s="953">
        <f t="shared" si="125"/>
        <v>541.96755390032536</v>
      </c>
      <c r="M186" s="953">
        <f t="shared" si="125"/>
        <v>596.16430929035789</v>
      </c>
      <c r="N186" s="953">
        <f t="shared" si="125"/>
        <v>655.78074021939369</v>
      </c>
      <c r="O186" s="953">
        <f t="shared" si="125"/>
        <v>721.35881424133311</v>
      </c>
    </row>
    <row r="187" spans="1:15" x14ac:dyDescent="0.6">
      <c r="A187" s="959" t="s">
        <v>261</v>
      </c>
      <c r="B187" s="959"/>
      <c r="C187" s="149"/>
      <c r="D187" s="967"/>
      <c r="E187" s="961"/>
      <c r="F187" s="994"/>
      <c r="G187" s="1004"/>
      <c r="H187" s="1005"/>
      <c r="I187" s="1298"/>
      <c r="J187" s="1298">
        <f t="shared" ref="J187:O187" si="126">J186/I186-1</f>
        <v>0.10000000000000009</v>
      </c>
      <c r="K187" s="1298">
        <f t="shared" si="126"/>
        <v>0.10000000000000009</v>
      </c>
      <c r="L187" s="1298">
        <f t="shared" si="126"/>
        <v>0.10000000000000009</v>
      </c>
      <c r="M187" s="1298">
        <f t="shared" si="126"/>
        <v>0.10000000000000009</v>
      </c>
      <c r="N187" s="1298">
        <f t="shared" si="126"/>
        <v>0.10000000000000009</v>
      </c>
      <c r="O187" s="1298">
        <f t="shared" si="126"/>
        <v>0.10000000000000009</v>
      </c>
    </row>
    <row r="188" spans="1:15" x14ac:dyDescent="0.6">
      <c r="A188" s="954" t="s">
        <v>259</v>
      </c>
      <c r="B188" s="92"/>
      <c r="C188" s="149"/>
      <c r="D188" s="156"/>
      <c r="E188" s="953">
        <f t="shared" ref="E188:H188" si="127">E157</f>
        <v>0</v>
      </c>
      <c r="F188" s="953">
        <f t="shared" si="127"/>
        <v>129.23763179237631</v>
      </c>
      <c r="G188" s="953">
        <f t="shared" si="127"/>
        <v>149.47349310094407</v>
      </c>
      <c r="H188" s="953">
        <f t="shared" si="127"/>
        <v>159.6639546351085</v>
      </c>
      <c r="I188" s="953">
        <f>I157</f>
        <v>175.63035009861935</v>
      </c>
      <c r="J188" s="953">
        <f t="shared" ref="J188:O188" si="128">J157</f>
        <v>210.75642011834321</v>
      </c>
      <c r="K188" s="953">
        <f t="shared" si="128"/>
        <v>252.90770414201185</v>
      </c>
      <c r="L188" s="953">
        <f t="shared" si="128"/>
        <v>278.19847455621306</v>
      </c>
      <c r="M188" s="953">
        <f t="shared" si="128"/>
        <v>306.01832201183441</v>
      </c>
      <c r="N188" s="953">
        <f t="shared" si="128"/>
        <v>336.62015421301788</v>
      </c>
      <c r="O188" s="953">
        <f t="shared" si="128"/>
        <v>370.2821696343197</v>
      </c>
    </row>
    <row r="189" spans="1:15" x14ac:dyDescent="0.6">
      <c r="A189" s="959" t="s">
        <v>261</v>
      </c>
      <c r="B189" s="92"/>
      <c r="C189" s="149"/>
      <c r="D189" s="156"/>
      <c r="E189" s="161"/>
      <c r="G189" s="1298">
        <f t="shared" ref="G189" si="129">G188/F188-1</f>
        <v>0.15657870720717959</v>
      </c>
      <c r="H189" s="1298">
        <f t="shared" ref="H189" si="130">H188/G188-1</f>
        <v>6.8175710105888188E-2</v>
      </c>
      <c r="I189" s="1298">
        <f t="shared" ref="I189" si="131">I188/H188-1</f>
        <v>0.10000000000000009</v>
      </c>
      <c r="J189" s="1298">
        <f t="shared" ref="J189" si="132">J188/I188-1</f>
        <v>0.19999999999999996</v>
      </c>
      <c r="K189" s="1298">
        <f t="shared" ref="K189" si="133">K188/J188-1</f>
        <v>0.19999999999999996</v>
      </c>
      <c r="L189" s="1298">
        <f t="shared" ref="L189" si="134">L188/K188-1</f>
        <v>0.10000000000000009</v>
      </c>
      <c r="M189" s="1298">
        <f t="shared" ref="M189" si="135">M188/L188-1</f>
        <v>0.10000000000000009</v>
      </c>
      <c r="N189" s="1298">
        <f t="shared" ref="N189" si="136">N188/M188-1</f>
        <v>0.10000000000000009</v>
      </c>
      <c r="O189" s="1298">
        <f t="shared" ref="O189" si="137">O188/N188-1</f>
        <v>0.10000000000000009</v>
      </c>
    </row>
    <row r="190" spans="1:15" x14ac:dyDescent="0.6">
      <c r="A190" s="959"/>
      <c r="B190" s="92"/>
      <c r="C190" s="149"/>
      <c r="D190" s="144"/>
      <c r="E190" s="161"/>
      <c r="G190" s="162"/>
      <c r="H190" s="162"/>
      <c r="I190" s="162"/>
      <c r="J190" s="162"/>
      <c r="K190" s="162"/>
      <c r="L190" s="162"/>
      <c r="M190" s="162"/>
      <c r="N190" s="162"/>
      <c r="O190" s="162"/>
    </row>
    <row r="191" spans="1:15" ht="15.9" thickBot="1" x14ac:dyDescent="0.65">
      <c r="A191" s="65" t="s">
        <v>287</v>
      </c>
      <c r="B191" s="65"/>
      <c r="C191" s="109"/>
      <c r="D191" s="109"/>
      <c r="E191" s="109"/>
      <c r="F191" s="109"/>
      <c r="G191" s="109"/>
      <c r="H191" s="109"/>
      <c r="I191" s="109"/>
      <c r="J191" s="109"/>
      <c r="K191" s="109"/>
      <c r="L191" s="109"/>
      <c r="M191" s="109"/>
      <c r="N191" s="109"/>
      <c r="O191" s="109"/>
    </row>
    <row r="192" spans="1:15" x14ac:dyDescent="0.6">
      <c r="A192" s="959"/>
      <c r="B192" s="959"/>
      <c r="C192" s="149"/>
      <c r="D192" s="966"/>
      <c r="E192" s="961"/>
      <c r="F192" s="992"/>
      <c r="G192" s="993"/>
      <c r="H192" s="993"/>
      <c r="I192" s="993"/>
      <c r="J192" s="993"/>
      <c r="K192" s="993"/>
      <c r="L192" s="993"/>
      <c r="M192" s="993"/>
      <c r="N192" s="993"/>
      <c r="O192" s="993"/>
    </row>
    <row r="193" spans="1:15" x14ac:dyDescent="0.6">
      <c r="A193" s="958" t="s">
        <v>157</v>
      </c>
      <c r="B193" s="959"/>
      <c r="C193" s="962">
        <v>9.6</v>
      </c>
      <c r="D193" s="962">
        <v>17.100000000000001</v>
      </c>
      <c r="E193" s="962">
        <v>22.5</v>
      </c>
      <c r="F193" s="962">
        <v>43.8</v>
      </c>
      <c r="G193" s="962">
        <v>81</v>
      </c>
      <c r="H193" s="962">
        <v>111.1</v>
      </c>
      <c r="I193" s="211">
        <f t="shared" ref="I193:O193" si="138">I210+I242+I266</f>
        <v>150.66833867640801</v>
      </c>
      <c r="J193" s="211">
        <f t="shared" si="138"/>
        <v>200.11739929417558</v>
      </c>
      <c r="K193" s="211">
        <f t="shared" si="138"/>
        <v>249.43012079606427</v>
      </c>
      <c r="L193" s="211">
        <f t="shared" si="138"/>
        <v>302.40410819813127</v>
      </c>
      <c r="M193" s="211">
        <f t="shared" si="138"/>
        <v>335.36228483618112</v>
      </c>
      <c r="N193" s="211">
        <f t="shared" si="138"/>
        <v>365.26674869197274</v>
      </c>
      <c r="O193" s="211">
        <f t="shared" si="138"/>
        <v>395.22890281547626</v>
      </c>
    </row>
    <row r="194" spans="1:15" x14ac:dyDescent="0.6">
      <c r="A194" s="955" t="s">
        <v>234</v>
      </c>
      <c r="B194" s="959"/>
      <c r="C194" s="211">
        <f t="shared" ref="C194:G196" si="139">C$193*C198</f>
        <v>5.8559999999999999</v>
      </c>
      <c r="D194" s="211">
        <f t="shared" si="139"/>
        <v>9.4049999999999994</v>
      </c>
      <c r="E194" s="211">
        <f t="shared" si="139"/>
        <v>9.6750000000000007</v>
      </c>
      <c r="F194" s="211">
        <f t="shared" si="139"/>
        <v>15.329999999999998</v>
      </c>
      <c r="G194" s="211">
        <f t="shared" si="139"/>
        <v>20.25</v>
      </c>
      <c r="H194" s="211">
        <f t="shared" ref="H194:O194" si="140">H$193*H198</f>
        <v>27.774999999999999</v>
      </c>
      <c r="I194" s="211">
        <f t="shared" si="140"/>
        <v>37.667084669102003</v>
      </c>
      <c r="J194" s="211">
        <f t="shared" si="140"/>
        <v>50.029349823543896</v>
      </c>
      <c r="K194" s="211">
        <f t="shared" si="140"/>
        <v>62.357530199016068</v>
      </c>
      <c r="L194" s="211">
        <f t="shared" si="140"/>
        <v>75.601027049532817</v>
      </c>
      <c r="M194" s="211">
        <f t="shared" si="140"/>
        <v>83.840571209045279</v>
      </c>
      <c r="N194" s="211">
        <f t="shared" si="140"/>
        <v>91.316687172993184</v>
      </c>
      <c r="O194" s="211">
        <f t="shared" si="140"/>
        <v>98.807225703869065</v>
      </c>
    </row>
    <row r="195" spans="1:15" x14ac:dyDescent="0.6">
      <c r="A195" s="955" t="s">
        <v>235</v>
      </c>
      <c r="B195" s="959"/>
      <c r="C195" s="211">
        <f t="shared" si="139"/>
        <v>2.7840000000000003</v>
      </c>
      <c r="D195" s="211">
        <f t="shared" si="139"/>
        <v>5.1300000000000008</v>
      </c>
      <c r="E195" s="211">
        <f t="shared" si="139"/>
        <v>8.3249999999999993</v>
      </c>
      <c r="F195" s="211">
        <f t="shared" si="139"/>
        <v>17.52</v>
      </c>
      <c r="G195" s="211">
        <f t="shared" si="139"/>
        <v>32.4</v>
      </c>
      <c r="H195" s="211">
        <f t="shared" ref="H195:O195" si="141">H$193*H199</f>
        <v>44.44</v>
      </c>
      <c r="I195" s="211">
        <f t="shared" si="141"/>
        <v>60.267335470563211</v>
      </c>
      <c r="J195" s="211">
        <f t="shared" si="141"/>
        <v>80.046959717670234</v>
      </c>
      <c r="K195" s="211">
        <f t="shared" si="141"/>
        <v>99.772048318425718</v>
      </c>
      <c r="L195" s="211">
        <f t="shared" si="141"/>
        <v>120.96164327925251</v>
      </c>
      <c r="M195" s="211">
        <f t="shared" si="141"/>
        <v>134.14491393447244</v>
      </c>
      <c r="N195" s="211">
        <f t="shared" si="141"/>
        <v>146.10669947678909</v>
      </c>
      <c r="O195" s="211">
        <f t="shared" si="141"/>
        <v>158.09156112619053</v>
      </c>
    </row>
    <row r="196" spans="1:15" x14ac:dyDescent="0.6">
      <c r="A196" s="955" t="s">
        <v>1141</v>
      </c>
      <c r="B196" s="959"/>
      <c r="C196" s="211">
        <f t="shared" si="139"/>
        <v>0.96</v>
      </c>
      <c r="D196" s="211">
        <f t="shared" si="139"/>
        <v>2.5649999999999999</v>
      </c>
      <c r="E196" s="211">
        <f t="shared" si="139"/>
        <v>4.5</v>
      </c>
      <c r="F196" s="211">
        <f t="shared" si="139"/>
        <v>10.95</v>
      </c>
      <c r="G196" s="211">
        <f t="shared" si="139"/>
        <v>28.349999999999998</v>
      </c>
      <c r="H196" s="211">
        <f t="shared" ref="H196:O196" si="142">H$193*H200</f>
        <v>38.884999999999998</v>
      </c>
      <c r="I196" s="211">
        <f t="shared" si="142"/>
        <v>52.733918536742799</v>
      </c>
      <c r="J196" s="211">
        <f t="shared" si="142"/>
        <v>70.041089752961454</v>
      </c>
      <c r="K196" s="211">
        <f t="shared" si="142"/>
        <v>87.300542278622487</v>
      </c>
      <c r="L196" s="211">
        <f t="shared" si="142"/>
        <v>105.84143786934594</v>
      </c>
      <c r="M196" s="211">
        <f t="shared" si="142"/>
        <v>117.37679969266338</v>
      </c>
      <c r="N196" s="211">
        <f t="shared" si="142"/>
        <v>127.84336204219045</v>
      </c>
      <c r="O196" s="211">
        <f t="shared" si="142"/>
        <v>138.33011598541668</v>
      </c>
    </row>
    <row r="197" spans="1:15" x14ac:dyDescent="0.6">
      <c r="A197" s="955"/>
      <c r="B197" s="959"/>
      <c r="C197" s="968"/>
      <c r="D197" s="968"/>
      <c r="E197" s="1006"/>
      <c r="F197" s="126"/>
      <c r="G197" s="993"/>
      <c r="H197" s="993"/>
      <c r="I197" s="993"/>
      <c r="J197" s="993"/>
      <c r="K197" s="993"/>
      <c r="L197" s="993"/>
      <c r="M197" s="993"/>
      <c r="N197" s="993"/>
      <c r="O197" s="993"/>
    </row>
    <row r="198" spans="1:15" x14ac:dyDescent="0.6">
      <c r="A198" s="955" t="s">
        <v>234</v>
      </c>
      <c r="B198" s="959"/>
      <c r="C198" s="271">
        <f>1-C199-C200</f>
        <v>0.61</v>
      </c>
      <c r="D198" s="271">
        <f t="shared" ref="D198:O198" si="143">1-D199-D200</f>
        <v>0.54999999999999993</v>
      </c>
      <c r="E198" s="271">
        <f t="shared" si="143"/>
        <v>0.43</v>
      </c>
      <c r="F198" s="271">
        <f t="shared" si="143"/>
        <v>0.35</v>
      </c>
      <c r="G198" s="271">
        <f t="shared" si="143"/>
        <v>0.25</v>
      </c>
      <c r="H198" s="271">
        <f t="shared" si="143"/>
        <v>0.25</v>
      </c>
      <c r="I198" s="271">
        <f t="shared" si="143"/>
        <v>0.25</v>
      </c>
      <c r="J198" s="271">
        <f t="shared" si="143"/>
        <v>0.25</v>
      </c>
      <c r="K198" s="271">
        <f t="shared" si="143"/>
        <v>0.25</v>
      </c>
      <c r="L198" s="271">
        <f t="shared" si="143"/>
        <v>0.25</v>
      </c>
      <c r="M198" s="271">
        <f t="shared" si="143"/>
        <v>0.25</v>
      </c>
      <c r="N198" s="271">
        <f t="shared" si="143"/>
        <v>0.25</v>
      </c>
      <c r="O198" s="271">
        <f t="shared" si="143"/>
        <v>0.25</v>
      </c>
    </row>
    <row r="199" spans="1:15" x14ac:dyDescent="0.6">
      <c r="A199" s="955" t="s">
        <v>235</v>
      </c>
      <c r="B199" s="959"/>
      <c r="C199" s="1006">
        <v>0.29000000000000004</v>
      </c>
      <c r="D199" s="1006">
        <v>0.30000000000000004</v>
      </c>
      <c r="E199" s="1006">
        <v>0.37</v>
      </c>
      <c r="F199" s="1006">
        <v>0.4</v>
      </c>
      <c r="G199" s="1006">
        <v>0.4</v>
      </c>
      <c r="H199" s="1006">
        <v>0.4</v>
      </c>
      <c r="I199" s="377">
        <f t="shared" ref="I199:O200" si="144">H199</f>
        <v>0.4</v>
      </c>
      <c r="J199" s="377">
        <f t="shared" si="144"/>
        <v>0.4</v>
      </c>
      <c r="K199" s="377">
        <f t="shared" si="144"/>
        <v>0.4</v>
      </c>
      <c r="L199" s="377">
        <f t="shared" si="144"/>
        <v>0.4</v>
      </c>
      <c r="M199" s="377">
        <f t="shared" si="144"/>
        <v>0.4</v>
      </c>
      <c r="N199" s="377">
        <f t="shared" si="144"/>
        <v>0.4</v>
      </c>
      <c r="O199" s="377">
        <f t="shared" si="144"/>
        <v>0.4</v>
      </c>
    </row>
    <row r="200" spans="1:15" x14ac:dyDescent="0.6">
      <c r="A200" s="955" t="s">
        <v>1141</v>
      </c>
      <c r="B200" s="959"/>
      <c r="C200" s="1006">
        <v>0.1</v>
      </c>
      <c r="D200" s="1006">
        <v>0.15</v>
      </c>
      <c r="E200" s="1006">
        <v>0.2</v>
      </c>
      <c r="F200" s="1006">
        <v>0.25</v>
      </c>
      <c r="G200" s="968">
        <v>0.35</v>
      </c>
      <c r="H200" s="968">
        <v>0.35</v>
      </c>
      <c r="I200" s="271">
        <f t="shared" si="144"/>
        <v>0.35</v>
      </c>
      <c r="J200" s="271">
        <f t="shared" si="144"/>
        <v>0.35</v>
      </c>
      <c r="K200" s="271">
        <f t="shared" si="144"/>
        <v>0.35</v>
      </c>
      <c r="L200" s="271">
        <f t="shared" si="144"/>
        <v>0.35</v>
      </c>
      <c r="M200" s="271">
        <f t="shared" si="144"/>
        <v>0.35</v>
      </c>
      <c r="N200" s="271">
        <f t="shared" si="144"/>
        <v>0.35</v>
      </c>
      <c r="O200" s="271">
        <f t="shared" si="144"/>
        <v>0.35</v>
      </c>
    </row>
    <row r="201" spans="1:15" x14ac:dyDescent="0.6">
      <c r="A201" s="955"/>
      <c r="B201" s="959"/>
      <c r="C201" s="406"/>
      <c r="D201" s="406"/>
      <c r="E201" s="406"/>
      <c r="F201" s="126"/>
      <c r="G201" s="993"/>
      <c r="H201" s="1007"/>
      <c r="I201" s="993"/>
      <c r="J201" s="993"/>
      <c r="K201" s="993"/>
      <c r="L201" s="993"/>
      <c r="M201" s="993"/>
      <c r="N201" s="993"/>
      <c r="O201" s="993"/>
    </row>
    <row r="202" spans="1:15" x14ac:dyDescent="0.6">
      <c r="A202" s="955" t="s">
        <v>237</v>
      </c>
      <c r="B202" s="959"/>
      <c r="C202" s="173">
        <v>116.5</v>
      </c>
      <c r="D202" s="173">
        <v>203.9</v>
      </c>
      <c r="E202" s="173">
        <v>254.3</v>
      </c>
      <c r="F202" s="173">
        <v>471.505</v>
      </c>
      <c r="G202" s="173">
        <v>917</v>
      </c>
      <c r="H202" s="173">
        <v>1187</v>
      </c>
      <c r="I202" s="97">
        <f>I235+I259+I283</f>
        <v>1341.8713702180751</v>
      </c>
      <c r="J202" s="97">
        <f t="shared" ref="J202:O202" si="145">J235+J259+J283</f>
        <v>1827.3605858548383</v>
      </c>
      <c r="K202" s="97">
        <f t="shared" si="145"/>
        <v>2313.1493213260983</v>
      </c>
      <c r="L202" s="97">
        <f t="shared" si="145"/>
        <v>2834.7552375837722</v>
      </c>
      <c r="M202" s="97">
        <f t="shared" si="145"/>
        <v>3171.564898361743</v>
      </c>
      <c r="N202" s="97">
        <f t="shared" si="145"/>
        <v>3475.2333540153622</v>
      </c>
      <c r="O202" s="97">
        <f t="shared" si="145"/>
        <v>3779.7481778954666</v>
      </c>
    </row>
    <row r="203" spans="1:15" x14ac:dyDescent="0.6">
      <c r="A203" s="955" t="s">
        <v>238</v>
      </c>
      <c r="B203" s="959"/>
      <c r="C203" s="1008">
        <f t="shared" ref="C203:O203" si="146">C202/(C193*1000)</f>
        <v>1.2135416666666666E-2</v>
      </c>
      <c r="D203" s="1008">
        <f t="shared" si="146"/>
        <v>1.1923976608187135E-2</v>
      </c>
      <c r="E203" s="1008">
        <f t="shared" si="146"/>
        <v>1.1302222222222222E-2</v>
      </c>
      <c r="F203" s="1008">
        <f t="shared" si="146"/>
        <v>1.0764954337899544E-2</v>
      </c>
      <c r="G203" s="1008">
        <f t="shared" si="146"/>
        <v>1.1320987654320987E-2</v>
      </c>
      <c r="H203" s="1008">
        <f t="shared" si="146"/>
        <v>1.0684068406840684E-2</v>
      </c>
      <c r="I203" s="1008">
        <f t="shared" si="146"/>
        <v>8.9061270735852904E-3</v>
      </c>
      <c r="J203" s="1008">
        <f t="shared" si="146"/>
        <v>9.1314428045738832E-3</v>
      </c>
      <c r="K203" s="1008">
        <f t="shared" si="146"/>
        <v>9.2737369245687231E-3</v>
      </c>
      <c r="L203" s="1008">
        <f t="shared" si="146"/>
        <v>9.3740632509082093E-3</v>
      </c>
      <c r="M203" s="1008">
        <f t="shared" si="146"/>
        <v>9.4571305175565577E-3</v>
      </c>
      <c r="N203" s="1008">
        <f t="shared" si="146"/>
        <v>9.5142340945630552E-3</v>
      </c>
      <c r="O203" s="1008">
        <f t="shared" si="146"/>
        <v>9.563440707321319E-3</v>
      </c>
    </row>
    <row r="204" spans="1:15" x14ac:dyDescent="0.6">
      <c r="A204" s="955"/>
      <c r="B204" s="959"/>
      <c r="C204" s="1009"/>
      <c r="D204" s="1009"/>
      <c r="E204" s="1009"/>
      <c r="F204" s="1009"/>
      <c r="G204" s="1009"/>
      <c r="H204" s="1009"/>
      <c r="I204" s="1009"/>
      <c r="J204" s="1009"/>
      <c r="K204" s="1009"/>
      <c r="L204" s="1009"/>
      <c r="M204" s="1009"/>
      <c r="N204" s="1009"/>
      <c r="O204" s="1009"/>
    </row>
    <row r="205" spans="1:15" x14ac:dyDescent="0.6">
      <c r="A205" s="959"/>
      <c r="B205" s="959"/>
      <c r="C205" s="211">
        <f>'Revenue and Expenses breakdown'!B8</f>
        <v>128.5</v>
      </c>
      <c r="D205" s="211">
        <f>'Revenue and Expenses breakdown'!C8</f>
        <v>214.6</v>
      </c>
      <c r="E205" s="211">
        <f>'Revenue and Expenses breakdown'!D8</f>
        <v>217.5</v>
      </c>
      <c r="F205" s="211">
        <f>'Revenue and Expenses breakdown'!E8</f>
        <v>357</v>
      </c>
      <c r="G205" s="211">
        <f>'Revenue and Expenses breakdown'!F8</f>
        <v>1014.875</v>
      </c>
      <c r="H205" s="211">
        <f>'Revenue and Expenses breakdown'!G8</f>
        <v>2521</v>
      </c>
      <c r="I205" s="211">
        <f>'Revenue and Expenses breakdown'!H8</f>
        <v>4076.2347103697962</v>
      </c>
      <c r="J205" s="211">
        <f>'Revenue and Expenses breakdown'!I8</f>
        <v>4788.0902478377484</v>
      </c>
      <c r="K205" s="211">
        <f>'Revenue and Expenses breakdown'!J8</f>
        <v>5778.8414763911251</v>
      </c>
      <c r="L205" s="211">
        <f>'Revenue and Expenses breakdown'!K8</f>
        <v>6457.2221083263457</v>
      </c>
      <c r="M205" s="211">
        <f>'Revenue and Expenses breakdown'!L8</f>
        <v>6897.904271192464</v>
      </c>
      <c r="N205" s="211">
        <f>'Revenue and Expenses breakdown'!M8</f>
        <v>7504.192068937049</v>
      </c>
      <c r="O205" s="211">
        <f>'Revenue and Expenses breakdown'!N8</f>
        <v>8454.4652061876968</v>
      </c>
    </row>
    <row r="206" spans="1:15" x14ac:dyDescent="0.6">
      <c r="A206" s="959"/>
      <c r="B206" s="959"/>
      <c r="C206" s="1004">
        <f>C205/(C194*1000)</f>
        <v>2.1943306010928962E-2</v>
      </c>
      <c r="D206" s="1004">
        <f>D205/(D194*1000)</f>
        <v>2.2817650186071237E-2</v>
      </c>
      <c r="E206" s="1004">
        <f>E205/(E194*1000)</f>
        <v>2.2480620155038759E-2</v>
      </c>
      <c r="F206" s="1004">
        <f>F205/(F194*1000)</f>
        <v>2.3287671232876714E-2</v>
      </c>
      <c r="G206" s="1004">
        <f t="shared" ref="G206:O206" si="147">G205/(G194*1000)</f>
        <v>5.0117283950617285E-2</v>
      </c>
      <c r="H206" s="1004">
        <f t="shared" si="147"/>
        <v>9.0765076507650769E-2</v>
      </c>
      <c r="I206" s="1004">
        <f t="shared" si="147"/>
        <v>0.10821741969623408</v>
      </c>
      <c r="J206" s="1004">
        <f t="shared" si="147"/>
        <v>9.5705626091995802E-2</v>
      </c>
      <c r="K206" s="1004">
        <f t="shared" si="147"/>
        <v>9.267271262905645E-2</v>
      </c>
      <c r="L206" s="1004">
        <f t="shared" si="147"/>
        <v>8.5411830504573141E-2</v>
      </c>
      <c r="M206" s="1004">
        <f t="shared" si="147"/>
        <v>8.2274061015083735E-2</v>
      </c>
      <c r="N206" s="1004">
        <f t="shared" si="147"/>
        <v>8.2177664359646255E-2</v>
      </c>
      <c r="O206" s="1004">
        <f t="shared" si="147"/>
        <v>8.5565252398910746E-2</v>
      </c>
    </row>
    <row r="207" spans="1:15" x14ac:dyDescent="0.6">
      <c r="A207" s="40" t="s">
        <v>228</v>
      </c>
      <c r="B207" s="959"/>
      <c r="C207" s="149"/>
      <c r="D207" s="966"/>
      <c r="E207" s="961"/>
      <c r="F207" s="992"/>
      <c r="G207" s="993"/>
      <c r="H207" s="993"/>
      <c r="I207" s="993"/>
      <c r="J207" s="993"/>
      <c r="K207" s="993"/>
      <c r="L207" s="993"/>
      <c r="M207" s="993"/>
      <c r="N207" s="993"/>
      <c r="O207" s="993"/>
    </row>
    <row r="208" spans="1:15" x14ac:dyDescent="0.6">
      <c r="A208" s="959"/>
      <c r="B208" s="959"/>
      <c r="C208" s="149"/>
      <c r="D208" s="966"/>
      <c r="E208" s="961"/>
      <c r="F208" s="992"/>
      <c r="G208" s="993"/>
      <c r="H208" s="993"/>
      <c r="I208" s="993"/>
      <c r="J208" s="993"/>
      <c r="K208" s="993"/>
      <c r="L208" s="993"/>
      <c r="M208" s="993"/>
      <c r="N208" s="993"/>
      <c r="O208" s="993"/>
    </row>
    <row r="209" spans="1:15" x14ac:dyDescent="0.6">
      <c r="A209" s="955" t="s">
        <v>1303</v>
      </c>
      <c r="B209" s="959"/>
      <c r="C209" s="271">
        <f t="shared" ref="C209:H209" si="148">C25</f>
        <v>1</v>
      </c>
      <c r="D209" s="271">
        <f t="shared" si="148"/>
        <v>1</v>
      </c>
      <c r="E209" s="271">
        <f t="shared" si="148"/>
        <v>1</v>
      </c>
      <c r="F209" s="271">
        <f t="shared" si="148"/>
        <v>0.9721706864564007</v>
      </c>
      <c r="G209" s="271">
        <f t="shared" si="148"/>
        <v>0.95040214477211815</v>
      </c>
      <c r="H209" s="271">
        <f t="shared" si="148"/>
        <v>0.93503727369542056</v>
      </c>
      <c r="I209" s="271">
        <f t="shared" ref="I209:O209" si="149">I210/I193</f>
        <v>0.88685713305022806</v>
      </c>
      <c r="J209" s="271">
        <f t="shared" si="149"/>
        <v>0.84830771874273592</v>
      </c>
      <c r="K209" s="271">
        <f t="shared" si="149"/>
        <v>0.8167151614288114</v>
      </c>
      <c r="L209" s="271">
        <f t="shared" si="149"/>
        <v>0.80276165475102212</v>
      </c>
      <c r="M209" s="271">
        <f t="shared" si="149"/>
        <v>0.79625609856858137</v>
      </c>
      <c r="N209" s="271">
        <f t="shared" si="149"/>
        <v>0.80417309277576887</v>
      </c>
      <c r="O209" s="271">
        <f t="shared" si="149"/>
        <v>0.81752993715898425</v>
      </c>
    </row>
    <row r="210" spans="1:15" x14ac:dyDescent="0.6">
      <c r="A210" s="955" t="s">
        <v>157</v>
      </c>
      <c r="B210" s="959"/>
      <c r="C210" s="211">
        <f t="shared" ref="C210:H210" si="150">C209*C193</f>
        <v>9.6</v>
      </c>
      <c r="D210" s="211">
        <f t="shared" si="150"/>
        <v>17.100000000000001</v>
      </c>
      <c r="E210" s="211">
        <f t="shared" si="150"/>
        <v>22.5</v>
      </c>
      <c r="F210" s="211">
        <f t="shared" si="150"/>
        <v>42.581076066790345</v>
      </c>
      <c r="G210" s="211">
        <f t="shared" si="150"/>
        <v>76.982573726541574</v>
      </c>
      <c r="H210" s="211">
        <f t="shared" si="150"/>
        <v>103.88264110756121</v>
      </c>
      <c r="I210" s="211">
        <f t="shared" ref="I210:O210" si="151">I226*I221</f>
        <v>133.62129088</v>
      </c>
      <c r="J210" s="211">
        <f t="shared" si="151"/>
        <v>169.76113447597129</v>
      </c>
      <c r="K210" s="211">
        <f t="shared" si="151"/>
        <v>203.71336137116555</v>
      </c>
      <c r="L210" s="211">
        <f t="shared" si="151"/>
        <v>242.75842230063898</v>
      </c>
      <c r="M210" s="211">
        <f t="shared" si="151"/>
        <v>267.0342645307029</v>
      </c>
      <c r="N210" s="211">
        <f t="shared" si="151"/>
        <v>293.73769098377323</v>
      </c>
      <c r="O210" s="211">
        <f t="shared" si="151"/>
        <v>323.11146008215059</v>
      </c>
    </row>
    <row r="211" spans="1:15" x14ac:dyDescent="0.6">
      <c r="A211" s="954" t="s">
        <v>288</v>
      </c>
      <c r="B211" s="959"/>
      <c r="C211" s="271">
        <f>1-C212-C213</f>
        <v>0.6</v>
      </c>
      <c r="D211" s="271">
        <f t="shared" ref="D211:O211" si="152">1-D212-D213</f>
        <v>0.54999999999999993</v>
      </c>
      <c r="E211" s="271">
        <f t="shared" si="152"/>
        <v>0.49999999999999994</v>
      </c>
      <c r="F211" s="271">
        <f t="shared" si="152"/>
        <v>0.29999999999999993</v>
      </c>
      <c r="G211" s="271">
        <f t="shared" si="152"/>
        <v>0.35</v>
      </c>
      <c r="H211" s="271">
        <f t="shared" si="152"/>
        <v>0.3</v>
      </c>
      <c r="I211" s="271">
        <f t="shared" si="152"/>
        <v>0.35</v>
      </c>
      <c r="J211" s="271">
        <f t="shared" si="152"/>
        <v>0.39999999999999997</v>
      </c>
      <c r="K211" s="271">
        <f t="shared" si="152"/>
        <v>0.41999999999999993</v>
      </c>
      <c r="L211" s="271">
        <f t="shared" si="152"/>
        <v>0.43999999999999995</v>
      </c>
      <c r="M211" s="271">
        <f t="shared" si="152"/>
        <v>0.45999999999999996</v>
      </c>
      <c r="N211" s="271">
        <f t="shared" si="152"/>
        <v>0.47999999999999993</v>
      </c>
      <c r="O211" s="271">
        <f t="shared" si="152"/>
        <v>0.49999999999999994</v>
      </c>
    </row>
    <row r="212" spans="1:15" x14ac:dyDescent="0.6">
      <c r="A212" s="954" t="s">
        <v>289</v>
      </c>
      <c r="B212" s="959"/>
      <c r="C212" s="1006">
        <v>0.3</v>
      </c>
      <c r="D212" s="1006">
        <v>0.3</v>
      </c>
      <c r="E212" s="1006">
        <v>0.3</v>
      </c>
      <c r="F212" s="1006">
        <v>0.3</v>
      </c>
      <c r="G212" s="1006">
        <v>0.3</v>
      </c>
      <c r="H212" s="1006">
        <v>0.4</v>
      </c>
      <c r="I212" s="377">
        <f t="shared" ref="I212:O212" si="153">H212</f>
        <v>0.4</v>
      </c>
      <c r="J212" s="377">
        <f t="shared" si="153"/>
        <v>0.4</v>
      </c>
      <c r="K212" s="377">
        <f t="shared" si="153"/>
        <v>0.4</v>
      </c>
      <c r="L212" s="377">
        <f t="shared" si="153"/>
        <v>0.4</v>
      </c>
      <c r="M212" s="377">
        <f t="shared" si="153"/>
        <v>0.4</v>
      </c>
      <c r="N212" s="377">
        <f t="shared" si="153"/>
        <v>0.4</v>
      </c>
      <c r="O212" s="377">
        <f t="shared" si="153"/>
        <v>0.4</v>
      </c>
    </row>
    <row r="213" spans="1:15" x14ac:dyDescent="0.6">
      <c r="A213" s="954" t="s">
        <v>1144</v>
      </c>
      <c r="B213" s="959"/>
      <c r="C213" s="1006">
        <v>0.1</v>
      </c>
      <c r="D213" s="1006">
        <v>0.15</v>
      </c>
      <c r="E213" s="1006">
        <v>0.2</v>
      </c>
      <c r="F213" s="1006">
        <v>0.4</v>
      </c>
      <c r="G213" s="968">
        <v>0.35</v>
      </c>
      <c r="H213" s="968">
        <v>0.3</v>
      </c>
      <c r="I213" s="968">
        <f>H213-5%</f>
        <v>0.25</v>
      </c>
      <c r="J213" s="968">
        <f>I213-5%</f>
        <v>0.2</v>
      </c>
      <c r="K213" s="968">
        <f>J213-2%</f>
        <v>0.18000000000000002</v>
      </c>
      <c r="L213" s="968">
        <f>K213-2%</f>
        <v>0.16000000000000003</v>
      </c>
      <c r="M213" s="968">
        <f>L213-2%</f>
        <v>0.14000000000000004</v>
      </c>
      <c r="N213" s="968">
        <f>M213-2%</f>
        <v>0.12000000000000004</v>
      </c>
      <c r="O213" s="968">
        <f>N213-2%</f>
        <v>0.10000000000000003</v>
      </c>
    </row>
    <row r="214" spans="1:15" x14ac:dyDescent="0.6">
      <c r="A214" s="954"/>
      <c r="B214" s="959"/>
      <c r="C214" s="149"/>
      <c r="D214" s="966"/>
      <c r="E214" s="961"/>
      <c r="F214" s="992"/>
      <c r="G214" s="993"/>
      <c r="H214" s="993"/>
      <c r="I214" s="993"/>
      <c r="J214" s="993"/>
      <c r="K214" s="993"/>
      <c r="L214" s="993"/>
      <c r="M214" s="993"/>
      <c r="N214" s="993"/>
      <c r="O214" s="993"/>
    </row>
    <row r="215" spans="1:15" x14ac:dyDescent="0.6">
      <c r="A215" s="954" t="s">
        <v>290</v>
      </c>
      <c r="B215" s="959"/>
      <c r="C215" s="211">
        <f t="shared" ref="C215:O215" si="154">C211*C$210</f>
        <v>5.76</v>
      </c>
      <c r="D215" s="211">
        <f t="shared" si="154"/>
        <v>9.4049999999999994</v>
      </c>
      <c r="E215" s="211">
        <f t="shared" si="154"/>
        <v>11.249999999999998</v>
      </c>
      <c r="F215" s="211">
        <f t="shared" si="154"/>
        <v>12.774322820037101</v>
      </c>
      <c r="G215" s="211">
        <f>G211*G$210</f>
        <v>26.943900804289548</v>
      </c>
      <c r="H215" s="211">
        <f t="shared" si="154"/>
        <v>31.164792332268362</v>
      </c>
      <c r="I215" s="211">
        <f t="shared" si="154"/>
        <v>46.767451807999997</v>
      </c>
      <c r="J215" s="211">
        <f t="shared" si="154"/>
        <v>67.904453790388516</v>
      </c>
      <c r="K215" s="211">
        <f t="shared" si="154"/>
        <v>85.559611775889522</v>
      </c>
      <c r="L215" s="211">
        <f t="shared" si="154"/>
        <v>106.81370581228114</v>
      </c>
      <c r="M215" s="211">
        <f t="shared" si="154"/>
        <v>122.83576168412333</v>
      </c>
      <c r="N215" s="211">
        <f t="shared" si="154"/>
        <v>140.99409167221114</v>
      </c>
      <c r="O215" s="211">
        <f t="shared" si="154"/>
        <v>161.55573004107526</v>
      </c>
    </row>
    <row r="216" spans="1:15" x14ac:dyDescent="0.6">
      <c r="A216" s="954" t="s">
        <v>291</v>
      </c>
      <c r="B216" s="959"/>
      <c r="C216" s="211">
        <f>C212*C$210</f>
        <v>2.88</v>
      </c>
      <c r="D216" s="211">
        <f>D212*D$210</f>
        <v>5.13</v>
      </c>
      <c r="E216" s="211">
        <f t="shared" ref="D216:O217" si="155">E212*E$210</f>
        <v>6.75</v>
      </c>
      <c r="F216" s="211">
        <f>F212*F$210</f>
        <v>12.774322820037103</v>
      </c>
      <c r="G216" s="211">
        <f>G212*G$210</f>
        <v>23.094772117962471</v>
      </c>
      <c r="H216" s="211">
        <f t="shared" si="155"/>
        <v>41.553056443024488</v>
      </c>
      <c r="I216" s="211">
        <f t="shared" si="155"/>
        <v>53.448516352000006</v>
      </c>
      <c r="J216" s="211">
        <f t="shared" si="155"/>
        <v>67.904453790388516</v>
      </c>
      <c r="K216" s="211">
        <f t="shared" si="155"/>
        <v>81.48534454846623</v>
      </c>
      <c r="L216" s="211">
        <f t="shared" si="155"/>
        <v>97.103368920255605</v>
      </c>
      <c r="M216" s="211">
        <f t="shared" si="155"/>
        <v>106.81370581228117</v>
      </c>
      <c r="N216" s="211">
        <f t="shared" si="155"/>
        <v>117.49507639350929</v>
      </c>
      <c r="O216" s="211">
        <f t="shared" si="155"/>
        <v>129.24458403286025</v>
      </c>
    </row>
    <row r="217" spans="1:15" x14ac:dyDescent="0.6">
      <c r="A217" s="954" t="s">
        <v>1143</v>
      </c>
      <c r="B217" s="959"/>
      <c r="C217" s="211">
        <f>C213*C$210</f>
        <v>0.96</v>
      </c>
      <c r="D217" s="211">
        <f t="shared" si="155"/>
        <v>2.5649999999999999</v>
      </c>
      <c r="E217" s="211">
        <f>E213*E$210</f>
        <v>4.5</v>
      </c>
      <c r="F217" s="211">
        <f>F213*F$210</f>
        <v>17.032430426716139</v>
      </c>
      <c r="G217" s="211">
        <f>G213*G$210</f>
        <v>26.943900804289548</v>
      </c>
      <c r="H217" s="211">
        <f t="shared" si="155"/>
        <v>31.164792332268362</v>
      </c>
      <c r="I217" s="211">
        <f t="shared" si="155"/>
        <v>33.405322720000001</v>
      </c>
      <c r="J217" s="211">
        <f t="shared" si="155"/>
        <v>33.952226895194258</v>
      </c>
      <c r="K217" s="211">
        <f t="shared" si="155"/>
        <v>36.668405046809802</v>
      </c>
      <c r="L217" s="211">
        <f t="shared" si="155"/>
        <v>38.841347568102243</v>
      </c>
      <c r="M217" s="211">
        <f t="shared" si="155"/>
        <v>37.384797034298415</v>
      </c>
      <c r="N217" s="211">
        <f t="shared" si="155"/>
        <v>35.248522918052799</v>
      </c>
      <c r="O217" s="211">
        <f t="shared" si="155"/>
        <v>32.311146008215069</v>
      </c>
    </row>
    <row r="218" spans="1:15" x14ac:dyDescent="0.6">
      <c r="A218" s="954"/>
      <c r="B218" s="959"/>
      <c r="C218" s="149"/>
      <c r="D218" s="966"/>
      <c r="E218" s="961"/>
      <c r="F218" s="992"/>
      <c r="G218" s="1007"/>
      <c r="H218" s="1007"/>
      <c r="I218" s="1007"/>
      <c r="J218" s="1007"/>
      <c r="K218" s="1007"/>
      <c r="L218" s="1007"/>
      <c r="M218" s="1007"/>
      <c r="N218" s="1007"/>
      <c r="O218" s="1007"/>
    </row>
    <row r="219" spans="1:15" x14ac:dyDescent="0.6">
      <c r="A219" s="955" t="s">
        <v>262</v>
      </c>
      <c r="B219" s="958"/>
      <c r="C219" s="173">
        <v>1434.759</v>
      </c>
      <c r="D219" s="173">
        <v>1798.5219999999999</v>
      </c>
      <c r="E219" s="173">
        <v>2005.9680000000001</v>
      </c>
      <c r="F219" s="173">
        <v>2633.4</v>
      </c>
      <c r="G219" s="59">
        <f t="shared" ref="G219:O219" si="156">F219*(1+G220)</f>
        <v>2949.4080000000004</v>
      </c>
      <c r="H219" s="59">
        <f t="shared" si="156"/>
        <v>3421.3132800000003</v>
      </c>
      <c r="I219" s="59">
        <f t="shared" si="156"/>
        <v>3900.2971392000009</v>
      </c>
      <c r="J219" s="59">
        <f t="shared" si="156"/>
        <v>4290.326853120001</v>
      </c>
      <c r="K219" s="59">
        <f t="shared" si="156"/>
        <v>4719.3595384320015</v>
      </c>
      <c r="L219" s="59">
        <f t="shared" si="156"/>
        <v>5191.2954922752024</v>
      </c>
      <c r="M219" s="59">
        <f t="shared" si="156"/>
        <v>5710.4250415027227</v>
      </c>
      <c r="N219" s="59">
        <f t="shared" si="156"/>
        <v>6281.4675456529958</v>
      </c>
      <c r="O219" s="59">
        <f t="shared" si="156"/>
        <v>6909.6143002182962</v>
      </c>
    </row>
    <row r="220" spans="1:15" x14ac:dyDescent="0.6">
      <c r="A220" s="959" t="s">
        <v>261</v>
      </c>
      <c r="B220" s="959"/>
      <c r="C220" s="149"/>
      <c r="D220" s="961">
        <f>D219/C219-1</f>
        <v>0.2535359596977611</v>
      </c>
      <c r="E220" s="961">
        <f>E219/D219-1</f>
        <v>0.11534248677525216</v>
      </c>
      <c r="F220" s="961">
        <f>F219/E219-1</f>
        <v>0.31278265655284621</v>
      </c>
      <c r="G220" s="1010">
        <v>0.12</v>
      </c>
      <c r="H220" s="1010">
        <v>0.16</v>
      </c>
      <c r="I220" s="1010">
        <v>0.14000000000000001</v>
      </c>
      <c r="J220" s="1010">
        <v>0.1</v>
      </c>
      <c r="K220" s="1010">
        <v>0.1</v>
      </c>
      <c r="L220" s="1010">
        <v>0.1</v>
      </c>
      <c r="M220" s="1010">
        <v>0.1</v>
      </c>
      <c r="N220" s="1010">
        <v>0.1</v>
      </c>
      <c r="O220" s="1010">
        <v>0.1</v>
      </c>
    </row>
    <row r="221" spans="1:15" x14ac:dyDescent="0.6">
      <c r="A221" s="955" t="s">
        <v>301</v>
      </c>
      <c r="B221" s="959"/>
      <c r="C221" s="97">
        <f t="shared" ref="C221:O221" si="157">C219/C4</f>
        <v>392.46102084359097</v>
      </c>
      <c r="D221" s="97">
        <f t="shared" si="157"/>
        <v>455.77202807835585</v>
      </c>
      <c r="E221" s="97">
        <f t="shared" si="157"/>
        <v>389.11545623836128</v>
      </c>
      <c r="F221" s="97">
        <f t="shared" si="157"/>
        <v>488.0643487285937</v>
      </c>
      <c r="G221" s="97">
        <f t="shared" si="157"/>
        <v>571.59069767441861</v>
      </c>
      <c r="H221" s="97">
        <f t="shared" si="157"/>
        <v>685.63392384769543</v>
      </c>
      <c r="I221" s="97">
        <f t="shared" si="157"/>
        <v>722.2772480000001</v>
      </c>
      <c r="J221" s="97">
        <f t="shared" si="157"/>
        <v>771.64152034532401</v>
      </c>
      <c r="K221" s="97">
        <f t="shared" si="157"/>
        <v>848.80567237985645</v>
      </c>
      <c r="L221" s="97">
        <f t="shared" si="157"/>
        <v>933.68623961784226</v>
      </c>
      <c r="M221" s="97">
        <f t="shared" si="157"/>
        <v>1027.0548635796265</v>
      </c>
      <c r="N221" s="97">
        <f t="shared" si="157"/>
        <v>1129.7603499375894</v>
      </c>
      <c r="O221" s="97">
        <f t="shared" si="157"/>
        <v>1242.7363849313483</v>
      </c>
    </row>
    <row r="222" spans="1:15" x14ac:dyDescent="0.6">
      <c r="A222" s="959"/>
      <c r="B222" s="959"/>
      <c r="C222" s="178"/>
      <c r="D222" s="1011"/>
      <c r="E222" s="1011"/>
      <c r="F222" s="1011"/>
      <c r="G222" s="1012"/>
      <c r="H222" s="1012"/>
      <c r="I222" s="1012"/>
      <c r="J222" s="1012"/>
      <c r="K222" s="1012"/>
      <c r="L222" s="1012"/>
      <c r="M222" s="1012"/>
      <c r="N222" s="1012"/>
      <c r="O222" s="1012"/>
    </row>
    <row r="223" spans="1:15" x14ac:dyDescent="0.6">
      <c r="A223" s="955" t="s">
        <v>491</v>
      </c>
      <c r="B223" s="959"/>
      <c r="C223" s="178"/>
      <c r="D223" s="1011"/>
      <c r="E223" s="1013">
        <f t="shared" ref="E223:O223" si="158">E215*5.6</f>
        <v>62.999999999999986</v>
      </c>
      <c r="F223" s="1013">
        <f t="shared" si="158"/>
        <v>71.536207792207762</v>
      </c>
      <c r="G223" s="1013">
        <f>G215*5.6</f>
        <v>150.88584450402146</v>
      </c>
      <c r="H223" s="1013">
        <f t="shared" si="158"/>
        <v>174.52283706070281</v>
      </c>
      <c r="I223" s="1013">
        <f t="shared" si="158"/>
        <v>261.89773012479998</v>
      </c>
      <c r="J223" s="1013">
        <f t="shared" si="158"/>
        <v>380.26494122617567</v>
      </c>
      <c r="K223" s="1013">
        <f t="shared" si="158"/>
        <v>479.13382594498131</v>
      </c>
      <c r="L223" s="1013">
        <f t="shared" si="158"/>
        <v>598.15675254877431</v>
      </c>
      <c r="M223" s="1013">
        <f t="shared" si="158"/>
        <v>687.88026543109061</v>
      </c>
      <c r="N223" s="1013">
        <f t="shared" si="158"/>
        <v>789.56691336438234</v>
      </c>
      <c r="O223" s="1013">
        <f t="shared" si="158"/>
        <v>904.71208823002144</v>
      </c>
    </row>
    <row r="224" spans="1:15" x14ac:dyDescent="0.6">
      <c r="A224" s="955" t="s">
        <v>492</v>
      </c>
      <c r="B224" s="959"/>
      <c r="C224" s="178"/>
      <c r="D224" s="1011"/>
      <c r="E224" s="1013"/>
      <c r="F224" s="1013">
        <f>F223*1000/Drivers!F87/12</f>
        <v>255.85195919959855</v>
      </c>
      <c r="G224" s="1013">
        <f>G223*1000/Drivers!G87/12</f>
        <v>413.61251234655009</v>
      </c>
      <c r="H224" s="1013">
        <f>H223*1000/Drivers!H87/12</f>
        <v>387.82852680156179</v>
      </c>
      <c r="I224" s="1013">
        <f>I223*1000/Drivers!I87/12</f>
        <v>490.61672811533572</v>
      </c>
      <c r="J224" s="1013">
        <f>J223*1000/Drivers!J87/12</f>
        <v>652.51822753934732</v>
      </c>
      <c r="K224" s="1013">
        <f>K223*1000/Drivers!K87/12</f>
        <v>759.04896902184225</v>
      </c>
      <c r="L224" s="1013">
        <f>L223*1000/Drivers!L87/12</f>
        <v>886.61389097776157</v>
      </c>
      <c r="M224" s="1013">
        <f>M223*1000/Drivers!M87/12</f>
        <v>965.6941084125034</v>
      </c>
      <c r="N224" s="1013">
        <f>N223*1000/Drivers!N87/12</f>
        <v>1051.4369190165694</v>
      </c>
      <c r="O224" s="1013">
        <f>O223*1000/Drivers!O87/12</f>
        <v>1144.4450194766766</v>
      </c>
    </row>
    <row r="225" spans="1:15" x14ac:dyDescent="0.6">
      <c r="A225" s="959"/>
      <c r="B225" s="959"/>
      <c r="C225" s="178"/>
      <c r="D225" s="1011"/>
      <c r="E225" s="1011"/>
      <c r="F225" s="1011"/>
      <c r="G225" s="1012"/>
      <c r="H225" s="1012"/>
      <c r="I225" s="1012"/>
      <c r="J225" s="1012"/>
      <c r="K225" s="1012"/>
      <c r="L225" s="1012"/>
      <c r="M225" s="1012"/>
      <c r="N225" s="1012"/>
      <c r="O225" s="1012"/>
    </row>
    <row r="226" spans="1:15" x14ac:dyDescent="0.6">
      <c r="A226" s="168" t="s">
        <v>263</v>
      </c>
      <c r="B226" s="94"/>
      <c r="C226" s="1014">
        <f t="shared" ref="C226:H226" si="159">C210/C221</f>
        <v>2.4461027949641719E-2</v>
      </c>
      <c r="D226" s="1014">
        <f t="shared" si="159"/>
        <v>3.7518757068303869E-2</v>
      </c>
      <c r="E226" s="1015">
        <f t="shared" si="159"/>
        <v>5.7823454810844437E-2</v>
      </c>
      <c r="F226" s="1015">
        <f t="shared" si="159"/>
        <v>8.7244799128872924E-2</v>
      </c>
      <c r="G226" s="1015">
        <f t="shared" si="159"/>
        <v>0.13468129211996255</v>
      </c>
      <c r="H226" s="1015">
        <f t="shared" si="159"/>
        <v>0.15151327478749049</v>
      </c>
      <c r="I226" s="1016">
        <v>0.185</v>
      </c>
      <c r="J226" s="1017">
        <v>0.22</v>
      </c>
      <c r="K226" s="1017">
        <v>0.24</v>
      </c>
      <c r="L226" s="1017">
        <v>0.26</v>
      </c>
      <c r="M226" s="1017">
        <v>0.26</v>
      </c>
      <c r="N226" s="1017">
        <v>0.26</v>
      </c>
      <c r="O226" s="1017">
        <v>0.26</v>
      </c>
    </row>
    <row r="227" spans="1:15" x14ac:dyDescent="0.6">
      <c r="A227" s="168"/>
      <c r="B227" s="94"/>
      <c r="C227" s="1018"/>
      <c r="D227" s="1018"/>
      <c r="E227" s="1019"/>
      <c r="F227" s="1016"/>
      <c r="G227" s="1014"/>
      <c r="H227" s="1014"/>
      <c r="I227" s="1014"/>
      <c r="J227" s="1014"/>
      <c r="K227" s="1014"/>
      <c r="L227" s="1014"/>
      <c r="M227" s="1014"/>
      <c r="N227" s="1014"/>
      <c r="O227" s="1014"/>
    </row>
    <row r="228" spans="1:15" x14ac:dyDescent="0.6">
      <c r="A228" s="955" t="s">
        <v>1309</v>
      </c>
      <c r="B228" s="958"/>
      <c r="C228" s="278">
        <f>C232/(C215*1000)</f>
        <v>1.5225694444444444E-2</v>
      </c>
      <c r="D228" s="278">
        <f>D232/(D215*1000)</f>
        <v>1.5134502923976608E-2</v>
      </c>
      <c r="E228" s="278">
        <f>E232/(E215*1000)</f>
        <v>1.4204444444444448E-2</v>
      </c>
      <c r="F228" s="278">
        <f>F232/(F215*1000)</f>
        <v>1.3480091527530881E-2</v>
      </c>
      <c r="G228" s="278">
        <f>G232/(G215*1000)</f>
        <v>1.5026140600940784E-2</v>
      </c>
      <c r="H228" s="1021">
        <v>1.2999999999999999E-2</v>
      </c>
      <c r="I228" s="1021">
        <v>1.2500000000000001E-2</v>
      </c>
      <c r="J228" s="1021">
        <v>1.2500000000000001E-2</v>
      </c>
      <c r="K228" s="1021">
        <v>1.2500000000000001E-2</v>
      </c>
      <c r="L228" s="1021">
        <v>1.2500000000000001E-2</v>
      </c>
      <c r="M228" s="1021">
        <v>1.2500000000000001E-2</v>
      </c>
      <c r="N228" s="1021">
        <v>1.2500000000000001E-2</v>
      </c>
      <c r="O228" s="1021">
        <v>1.2500000000000001E-2</v>
      </c>
    </row>
    <row r="229" spans="1:15" x14ac:dyDescent="0.6">
      <c r="A229" s="955" t="s">
        <v>293</v>
      </c>
      <c r="B229" s="958"/>
      <c r="C229" s="278">
        <v>6.0000000000000001E-3</v>
      </c>
      <c r="D229" s="278">
        <v>6.0000000000000001E-3</v>
      </c>
      <c r="E229" s="278">
        <v>6.0000000000000001E-3</v>
      </c>
      <c r="F229" s="278">
        <v>6.0000000000000001E-3</v>
      </c>
      <c r="G229" s="278">
        <v>6.0000000000000001E-3</v>
      </c>
      <c r="H229" s="1021">
        <f>(3*0.7%+9*0.5%)/12</f>
        <v>5.5000000000000005E-3</v>
      </c>
      <c r="I229" s="1021">
        <v>5.4999999999999997E-3</v>
      </c>
      <c r="J229" s="1021">
        <v>5.4999999999999997E-3</v>
      </c>
      <c r="K229" s="1021">
        <v>5.4999999999999997E-3</v>
      </c>
      <c r="L229" s="1021">
        <v>5.4999999999999997E-3</v>
      </c>
      <c r="M229" s="1021">
        <v>5.4999999999999997E-3</v>
      </c>
      <c r="N229" s="1021">
        <v>5.4999999999999997E-3</v>
      </c>
      <c r="O229" s="1021">
        <v>5.4999999999999997E-3</v>
      </c>
    </row>
    <row r="230" spans="1:15" x14ac:dyDescent="0.6">
      <c r="A230" s="955" t="s">
        <v>1142</v>
      </c>
      <c r="B230" s="958"/>
      <c r="C230" s="1020">
        <v>1.2E-2</v>
      </c>
      <c r="D230" s="1020">
        <v>1.2E-2</v>
      </c>
      <c r="E230" s="1020">
        <v>1.2E-2</v>
      </c>
      <c r="F230" s="1020">
        <v>1.2E-2</v>
      </c>
      <c r="G230" s="1020">
        <f>F230</f>
        <v>1.2E-2</v>
      </c>
      <c r="H230" s="1021">
        <f>(3*1.2%+9*0.7%)/12</f>
        <v>8.2500000000000004E-3</v>
      </c>
      <c r="I230" s="1021">
        <v>8.0000000000000002E-3</v>
      </c>
      <c r="J230" s="1021">
        <v>8.0000000000000002E-3</v>
      </c>
      <c r="K230" s="1021">
        <v>8.0000000000000002E-3</v>
      </c>
      <c r="L230" s="1021">
        <v>8.0000000000000002E-3</v>
      </c>
      <c r="M230" s="1021">
        <v>8.0000000000000002E-3</v>
      </c>
      <c r="N230" s="1021">
        <v>8.0000000000000002E-3</v>
      </c>
      <c r="O230" s="1021">
        <v>8.0000000000000002E-3</v>
      </c>
    </row>
    <row r="231" spans="1:15" x14ac:dyDescent="0.6">
      <c r="A231" s="959"/>
      <c r="B231" s="959"/>
      <c r="C231" s="149"/>
      <c r="D231" s="966"/>
      <c r="E231" s="961"/>
      <c r="F231" s="992"/>
      <c r="G231" s="993"/>
      <c r="H231" s="952"/>
      <c r="I231" s="993"/>
      <c r="J231" s="993"/>
      <c r="K231" s="993"/>
      <c r="L231" s="993"/>
      <c r="M231" s="993"/>
      <c r="N231" s="993"/>
      <c r="O231" s="993"/>
    </row>
    <row r="232" spans="1:15" x14ac:dyDescent="0.6">
      <c r="A232" s="955" t="s">
        <v>1306</v>
      </c>
      <c r="B232" s="959"/>
      <c r="C232" s="97">
        <f t="shared" ref="C232:H232" si="160">C235-C233-C234</f>
        <v>87.7</v>
      </c>
      <c r="D232" s="97">
        <f t="shared" si="160"/>
        <v>142.34</v>
      </c>
      <c r="E232" s="97">
        <f t="shared" si="160"/>
        <v>159.80000000000001</v>
      </c>
      <c r="F232" s="97">
        <f t="shared" si="160"/>
        <v>172.19904081632652</v>
      </c>
      <c r="G232" s="97">
        <f t="shared" si="160"/>
        <v>404.86284182305621</v>
      </c>
      <c r="H232" s="97">
        <f t="shared" si="160"/>
        <v>622.2274685835996</v>
      </c>
      <c r="I232" s="953">
        <f t="shared" ref="I232:O232" si="161">I228*I215*1000</f>
        <v>584.59314760000007</v>
      </c>
      <c r="J232" s="953">
        <f t="shared" si="161"/>
        <v>848.80567237985645</v>
      </c>
      <c r="K232" s="953">
        <f t="shared" si="161"/>
        <v>1069.4951471986192</v>
      </c>
      <c r="L232" s="953">
        <f t="shared" si="161"/>
        <v>1335.1713226535144</v>
      </c>
      <c r="M232" s="953">
        <f t="shared" si="161"/>
        <v>1535.4470210515417</v>
      </c>
      <c r="N232" s="953">
        <f t="shared" si="161"/>
        <v>1762.4261459026393</v>
      </c>
      <c r="O232" s="953">
        <f t="shared" si="161"/>
        <v>2019.4466255134409</v>
      </c>
    </row>
    <row r="233" spans="1:15" x14ac:dyDescent="0.6">
      <c r="A233" s="955" t="s">
        <v>1307</v>
      </c>
      <c r="B233" s="959"/>
      <c r="C233" s="97">
        <f t="shared" ref="C233:G234" si="162">C229*C216*1000</f>
        <v>17.28</v>
      </c>
      <c r="D233" s="97">
        <f t="shared" si="162"/>
        <v>30.779999999999998</v>
      </c>
      <c r="E233" s="97">
        <f t="shared" si="162"/>
        <v>40.5</v>
      </c>
      <c r="F233" s="97">
        <f t="shared" si="162"/>
        <v>76.645936920222624</v>
      </c>
      <c r="G233" s="97">
        <f t="shared" si="162"/>
        <v>138.56863270777484</v>
      </c>
      <c r="H233" s="97">
        <f t="shared" ref="H233" si="163">H229*H216*1000</f>
        <v>228.54181043663471</v>
      </c>
      <c r="I233" s="953">
        <f t="shared" ref="I233:O233" si="164">I229*I216*1000</f>
        <v>293.96683993600004</v>
      </c>
      <c r="J233" s="953">
        <f t="shared" si="164"/>
        <v>373.47449584713684</v>
      </c>
      <c r="K233" s="953">
        <f t="shared" si="164"/>
        <v>448.16939501656424</v>
      </c>
      <c r="L233" s="953">
        <f t="shared" si="164"/>
        <v>534.0685290614058</v>
      </c>
      <c r="M233" s="953">
        <f t="shared" si="164"/>
        <v>587.47538196754647</v>
      </c>
      <c r="N233" s="953">
        <f t="shared" si="164"/>
        <v>646.22292016430106</v>
      </c>
      <c r="O233" s="953">
        <f t="shared" si="164"/>
        <v>710.84521218073132</v>
      </c>
    </row>
    <row r="234" spans="1:15" x14ac:dyDescent="0.6">
      <c r="A234" s="1028" t="s">
        <v>1308</v>
      </c>
      <c r="B234" s="1029"/>
      <c r="C234" s="1026">
        <f t="shared" si="162"/>
        <v>11.52</v>
      </c>
      <c r="D234" s="1026">
        <f t="shared" si="162"/>
        <v>30.779999999999998</v>
      </c>
      <c r="E234" s="1026">
        <f t="shared" si="162"/>
        <v>54</v>
      </c>
      <c r="F234" s="1026">
        <f t="shared" si="162"/>
        <v>204.38916512059367</v>
      </c>
      <c r="G234" s="1026">
        <f t="shared" si="162"/>
        <v>323.3268096514746</v>
      </c>
      <c r="H234" s="1026">
        <f t="shared" ref="H234" si="165">H230*H217*1000</f>
        <v>257.10953674121401</v>
      </c>
      <c r="I234" s="1027">
        <f t="shared" ref="I234:O234" si="166">I230*I217*1000</f>
        <v>267.24258176000001</v>
      </c>
      <c r="J234" s="1027">
        <f t="shared" si="166"/>
        <v>271.61781516155406</v>
      </c>
      <c r="K234" s="1027">
        <f t="shared" si="166"/>
        <v>293.34724037447842</v>
      </c>
      <c r="L234" s="1027">
        <f t="shared" si="166"/>
        <v>310.73078054481795</v>
      </c>
      <c r="M234" s="1027">
        <f t="shared" si="166"/>
        <v>299.07837627438732</v>
      </c>
      <c r="N234" s="1027">
        <f t="shared" si="166"/>
        <v>281.9881833444224</v>
      </c>
      <c r="O234" s="1027">
        <f t="shared" si="166"/>
        <v>258.48916806572055</v>
      </c>
    </row>
    <row r="235" spans="1:15" x14ac:dyDescent="0.6">
      <c r="A235" s="955" t="s">
        <v>237</v>
      </c>
      <c r="B235" s="959"/>
      <c r="C235" s="173">
        <v>116.5</v>
      </c>
      <c r="D235" s="173">
        <v>203.9</v>
      </c>
      <c r="E235" s="97">
        <f>E202-E259</f>
        <v>254.3</v>
      </c>
      <c r="F235" s="97">
        <f>F202-F259</f>
        <v>453.23414285714284</v>
      </c>
      <c r="G235" s="97">
        <f>G202-G259</f>
        <v>866.7582841823056</v>
      </c>
      <c r="H235" s="97">
        <f>H202-H259</f>
        <v>1107.8788157614483</v>
      </c>
      <c r="I235" s="1002">
        <f t="shared" ref="I235:O235" si="167">((I228*I215)+(I229*I216)+(I230*I217))*1000</f>
        <v>1145.802569296</v>
      </c>
      <c r="J235" s="1002">
        <f t="shared" si="167"/>
        <v>1493.8979833885473</v>
      </c>
      <c r="K235" s="1002">
        <f t="shared" si="167"/>
        <v>1811.0117825896616</v>
      </c>
      <c r="L235" s="1002">
        <f t="shared" si="167"/>
        <v>2179.9706322597385</v>
      </c>
      <c r="M235" s="1002">
        <f t="shared" si="167"/>
        <v>2422.0007792934757</v>
      </c>
      <c r="N235" s="1002">
        <f t="shared" si="167"/>
        <v>2690.637249411363</v>
      </c>
      <c r="O235" s="1002">
        <f t="shared" si="167"/>
        <v>2988.7810057598927</v>
      </c>
    </row>
    <row r="236" spans="1:15" x14ac:dyDescent="0.6">
      <c r="A236" s="955" t="s">
        <v>238</v>
      </c>
      <c r="B236" s="959"/>
      <c r="C236" s="268">
        <f t="shared" ref="C236:O236" si="168">(C235/1000)/C210</f>
        <v>1.2135416666666668E-2</v>
      </c>
      <c r="D236" s="268">
        <f t="shared" si="168"/>
        <v>1.1923976608187134E-2</v>
      </c>
      <c r="E236" s="267">
        <f t="shared" si="168"/>
        <v>1.1302222222222224E-2</v>
      </c>
      <c r="F236" s="267">
        <f t="shared" si="168"/>
        <v>1.0644027458259266E-2</v>
      </c>
      <c r="G236" s="268">
        <f t="shared" si="168"/>
        <v>1.1259149210329273E-2</v>
      </c>
      <c r="H236" s="268">
        <f t="shared" si="168"/>
        <v>1.066471552850046E-2</v>
      </c>
      <c r="I236" s="268">
        <f t="shared" si="168"/>
        <v>8.575000000000001E-3</v>
      </c>
      <c r="J236" s="268">
        <f t="shared" si="168"/>
        <v>8.8000000000000005E-3</v>
      </c>
      <c r="K236" s="268">
        <f t="shared" si="168"/>
        <v>8.8900000000000003E-3</v>
      </c>
      <c r="L236" s="268">
        <f t="shared" si="168"/>
        <v>8.9800000000000001E-3</v>
      </c>
      <c r="M236" s="268">
        <f t="shared" si="168"/>
        <v>9.0700000000000017E-3</v>
      </c>
      <c r="N236" s="268">
        <f t="shared" si="168"/>
        <v>9.1599999999999997E-3</v>
      </c>
      <c r="O236" s="268">
        <f t="shared" si="168"/>
        <v>9.2499999999999978E-3</v>
      </c>
    </row>
    <row r="237" spans="1:15" x14ac:dyDescent="0.6">
      <c r="A237" s="959"/>
      <c r="B237" s="959"/>
      <c r="C237" s="149"/>
      <c r="D237" s="966"/>
      <c r="E237" s="961"/>
      <c r="F237" s="992"/>
      <c r="G237" s="993"/>
      <c r="H237" s="1007"/>
      <c r="I237" s="993"/>
      <c r="J237" s="993"/>
      <c r="K237" s="993"/>
      <c r="L237" s="993"/>
      <c r="M237" s="993"/>
      <c r="N237" s="993"/>
      <c r="O237" s="993"/>
    </row>
    <row r="238" spans="1:15" x14ac:dyDescent="0.6">
      <c r="A238" s="959"/>
      <c r="B238" s="959"/>
      <c r="C238" s="149"/>
      <c r="D238" s="966"/>
      <c r="E238" s="961"/>
      <c r="F238" s="992"/>
      <c r="G238" s="993"/>
      <c r="H238" s="993"/>
      <c r="I238" s="993"/>
      <c r="J238" s="993"/>
      <c r="K238" s="993"/>
      <c r="L238" s="993"/>
      <c r="M238" s="993"/>
      <c r="N238" s="993"/>
      <c r="O238" s="993"/>
    </row>
    <row r="239" spans="1:15" x14ac:dyDescent="0.6">
      <c r="A239" s="40" t="s">
        <v>229</v>
      </c>
      <c r="B239" s="959"/>
      <c r="C239" s="149"/>
      <c r="D239" s="966"/>
      <c r="E239" s="961"/>
      <c r="F239" s="992"/>
      <c r="G239" s="993"/>
      <c r="H239" s="993"/>
      <c r="I239" s="993"/>
      <c r="J239" s="993"/>
      <c r="K239" s="993"/>
      <c r="L239" s="993"/>
      <c r="M239" s="993"/>
      <c r="N239" s="993"/>
      <c r="O239" s="993"/>
    </row>
    <row r="240" spans="1:15" x14ac:dyDescent="0.6">
      <c r="A240" s="40"/>
      <c r="B240" s="959"/>
      <c r="C240" s="149"/>
      <c r="D240" s="966"/>
      <c r="E240" s="961"/>
      <c r="F240" s="992"/>
      <c r="G240" s="993"/>
      <c r="H240" s="993"/>
      <c r="I240" s="993"/>
      <c r="J240" s="993"/>
      <c r="K240" s="993"/>
      <c r="L240" s="993"/>
      <c r="M240" s="993"/>
      <c r="N240" s="993"/>
      <c r="O240" s="993"/>
    </row>
    <row r="241" spans="1:15" x14ac:dyDescent="0.6">
      <c r="A241" s="955" t="s">
        <v>1304</v>
      </c>
      <c r="B241" s="959"/>
      <c r="C241" s="271">
        <f t="shared" ref="C241:H241" si="169">C26</f>
        <v>0</v>
      </c>
      <c r="D241" s="271">
        <f t="shared" si="169"/>
        <v>0</v>
      </c>
      <c r="E241" s="271">
        <f t="shared" si="169"/>
        <v>0</v>
      </c>
      <c r="F241" s="271">
        <f t="shared" si="169"/>
        <v>2.5974025974025972E-2</v>
      </c>
      <c r="G241" s="271">
        <f t="shared" si="169"/>
        <v>4.2895442359249338E-2</v>
      </c>
      <c r="H241" s="271">
        <f t="shared" si="169"/>
        <v>5.5378061767838119E-2</v>
      </c>
      <c r="I241" s="271">
        <f t="shared" ref="I241:O241" si="170">I242/I193</f>
        <v>0.10165653941467211</v>
      </c>
      <c r="J241" s="271">
        <f t="shared" si="170"/>
        <v>0.13983629056191829</v>
      </c>
      <c r="K241" s="271">
        <f t="shared" si="170"/>
        <v>0.16871069780998796</v>
      </c>
      <c r="L241" s="271">
        <f t="shared" si="170"/>
        <v>0.18037115023890901</v>
      </c>
      <c r="M241" s="271">
        <f t="shared" si="170"/>
        <v>0.18466072821061907</v>
      </c>
      <c r="N241" s="271">
        <f t="shared" si="170"/>
        <v>0.17724666851279178</v>
      </c>
      <c r="O241" s="271">
        <f t="shared" si="170"/>
        <v>0.16493870198589122</v>
      </c>
    </row>
    <row r="242" spans="1:15" x14ac:dyDescent="0.6">
      <c r="A242" s="955" t="s">
        <v>157</v>
      </c>
      <c r="B242" s="959"/>
      <c r="C242" s="211">
        <f t="shared" ref="C242:H242" si="171">C241*C193</f>
        <v>0</v>
      </c>
      <c r="D242" s="211">
        <f t="shared" si="171"/>
        <v>0</v>
      </c>
      <c r="E242" s="211">
        <f t="shared" si="171"/>
        <v>0</v>
      </c>
      <c r="F242" s="211">
        <f t="shared" si="171"/>
        <v>1.1376623376623376</v>
      </c>
      <c r="G242" s="211">
        <f t="shared" si="171"/>
        <v>3.4745308310991962</v>
      </c>
      <c r="H242" s="211">
        <f t="shared" si="171"/>
        <v>6.1525026624068149</v>
      </c>
      <c r="I242" s="211">
        <f t="shared" ref="I242:O242" si="172">I254*I252</f>
        <v>15.316421909201436</v>
      </c>
      <c r="J242" s="211">
        <f t="shared" si="172"/>
        <v>27.983674794195757</v>
      </c>
      <c r="K242" s="211">
        <f t="shared" si="172"/>
        <v>42.081529734333593</v>
      </c>
      <c r="L242" s="211">
        <f t="shared" si="172"/>
        <v>54.544976832668432</v>
      </c>
      <c r="M242" s="211">
        <f t="shared" si="172"/>
        <v>61.928243732226257</v>
      </c>
      <c r="N242" s="211">
        <f t="shared" si="172"/>
        <v>64.742314324151309</v>
      </c>
      <c r="O242" s="211">
        <f t="shared" si="172"/>
        <v>65.1885422176926</v>
      </c>
    </row>
    <row r="243" spans="1:15" x14ac:dyDescent="0.6">
      <c r="A243" s="954" t="s">
        <v>288</v>
      </c>
      <c r="B243" s="959"/>
      <c r="C243" s="968">
        <v>0.71</v>
      </c>
      <c r="D243" s="968">
        <v>0.7</v>
      </c>
      <c r="E243" s="1006">
        <v>0.63</v>
      </c>
      <c r="F243" s="1006">
        <v>0.6</v>
      </c>
      <c r="G243" s="960">
        <f>F243</f>
        <v>0.6</v>
      </c>
      <c r="H243" s="960">
        <f>G243</f>
        <v>0.6</v>
      </c>
      <c r="I243" s="960">
        <f t="shared" ref="I243:O243" si="173">H243</f>
        <v>0.6</v>
      </c>
      <c r="J243" s="960">
        <f t="shared" si="173"/>
        <v>0.6</v>
      </c>
      <c r="K243" s="960">
        <f t="shared" si="173"/>
        <v>0.6</v>
      </c>
      <c r="L243" s="960">
        <f t="shared" si="173"/>
        <v>0.6</v>
      </c>
      <c r="M243" s="960">
        <f t="shared" si="173"/>
        <v>0.6</v>
      </c>
      <c r="N243" s="960">
        <f t="shared" si="173"/>
        <v>0.6</v>
      </c>
      <c r="O243" s="960">
        <f t="shared" si="173"/>
        <v>0.6</v>
      </c>
    </row>
    <row r="244" spans="1:15" x14ac:dyDescent="0.6">
      <c r="A244" s="954" t="s">
        <v>289</v>
      </c>
      <c r="B244" s="959"/>
      <c r="C244" s="271">
        <f t="shared" ref="C244:O244" si="174">1-C243</f>
        <v>0.29000000000000004</v>
      </c>
      <c r="D244" s="271">
        <f t="shared" si="174"/>
        <v>0.30000000000000004</v>
      </c>
      <c r="E244" s="377">
        <f t="shared" si="174"/>
        <v>0.37</v>
      </c>
      <c r="F244" s="377">
        <f t="shared" si="174"/>
        <v>0.4</v>
      </c>
      <c r="G244" s="271">
        <f t="shared" si="174"/>
        <v>0.4</v>
      </c>
      <c r="H244" s="271">
        <f t="shared" ref="H244" si="175">1-H243</f>
        <v>0.4</v>
      </c>
      <c r="I244" s="271">
        <f t="shared" si="174"/>
        <v>0.4</v>
      </c>
      <c r="J244" s="271">
        <f t="shared" si="174"/>
        <v>0.4</v>
      </c>
      <c r="K244" s="271">
        <f t="shared" si="174"/>
        <v>0.4</v>
      </c>
      <c r="L244" s="271">
        <f t="shared" si="174"/>
        <v>0.4</v>
      </c>
      <c r="M244" s="271">
        <f t="shared" si="174"/>
        <v>0.4</v>
      </c>
      <c r="N244" s="271">
        <f t="shared" si="174"/>
        <v>0.4</v>
      </c>
      <c r="O244" s="271">
        <f t="shared" si="174"/>
        <v>0.4</v>
      </c>
    </row>
    <row r="245" spans="1:15" x14ac:dyDescent="0.6">
      <c r="A245" s="954"/>
      <c r="B245" s="959"/>
      <c r="C245" s="149"/>
      <c r="D245" s="966"/>
      <c r="E245" s="961"/>
      <c r="F245" s="992"/>
      <c r="G245" s="993"/>
      <c r="H245" s="993"/>
      <c r="I245" s="993"/>
      <c r="J245" s="993"/>
      <c r="K245" s="993"/>
      <c r="L245" s="993"/>
      <c r="M245" s="993"/>
      <c r="N245" s="993"/>
      <c r="O245" s="993"/>
    </row>
    <row r="246" spans="1:15" x14ac:dyDescent="0.6">
      <c r="A246" s="954" t="s">
        <v>290</v>
      </c>
      <c r="B246" s="959"/>
      <c r="C246" s="211">
        <f t="shared" ref="C246:O246" si="176">C243*C$242</f>
        <v>0</v>
      </c>
      <c r="D246" s="211">
        <f t="shared" si="176"/>
        <v>0</v>
      </c>
      <c r="E246" s="211">
        <f t="shared" si="176"/>
        <v>0</v>
      </c>
      <c r="F246" s="211">
        <f t="shared" si="176"/>
        <v>0.68259740259740254</v>
      </c>
      <c r="G246" s="211">
        <f t="shared" si="176"/>
        <v>2.0847184986595177</v>
      </c>
      <c r="H246" s="211">
        <f t="shared" si="176"/>
        <v>3.6915015974440886</v>
      </c>
      <c r="I246" s="211">
        <f t="shared" si="176"/>
        <v>9.1898531455208605</v>
      </c>
      <c r="J246" s="211">
        <f t="shared" si="176"/>
        <v>16.790204876517453</v>
      </c>
      <c r="K246" s="211">
        <f t="shared" si="176"/>
        <v>25.248917840600154</v>
      </c>
      <c r="L246" s="211">
        <f t="shared" si="176"/>
        <v>32.726986099601056</v>
      </c>
      <c r="M246" s="211">
        <f t="shared" si="176"/>
        <v>37.156946239335753</v>
      </c>
      <c r="N246" s="211">
        <f t="shared" si="176"/>
        <v>38.845388594490785</v>
      </c>
      <c r="O246" s="211">
        <f t="shared" si="176"/>
        <v>39.11312533061556</v>
      </c>
    </row>
    <row r="247" spans="1:15" x14ac:dyDescent="0.6">
      <c r="A247" s="954" t="s">
        <v>291</v>
      </c>
      <c r="B247" s="959"/>
      <c r="C247" s="211">
        <f t="shared" ref="C247:O247" si="177">C244*C$242</f>
        <v>0</v>
      </c>
      <c r="D247" s="211">
        <f t="shared" si="177"/>
        <v>0</v>
      </c>
      <c r="E247" s="211">
        <f t="shared" si="177"/>
        <v>0</v>
      </c>
      <c r="F247" s="211">
        <f t="shared" si="177"/>
        <v>0.45506493506493506</v>
      </c>
      <c r="G247" s="211">
        <f t="shared" si="177"/>
        <v>1.3898123324396785</v>
      </c>
      <c r="H247" s="211">
        <f t="shared" si="177"/>
        <v>2.4610010649627263</v>
      </c>
      <c r="I247" s="211">
        <f t="shared" si="177"/>
        <v>6.1265687636805746</v>
      </c>
      <c r="J247" s="211">
        <f t="shared" si="177"/>
        <v>11.193469917678303</v>
      </c>
      <c r="K247" s="211">
        <f t="shared" si="177"/>
        <v>16.832611893733439</v>
      </c>
      <c r="L247" s="211">
        <f t="shared" si="177"/>
        <v>21.817990733067376</v>
      </c>
      <c r="M247" s="211">
        <f t="shared" si="177"/>
        <v>24.771297492890504</v>
      </c>
      <c r="N247" s="211">
        <f t="shared" si="177"/>
        <v>25.896925729660524</v>
      </c>
      <c r="O247" s="211">
        <f t="shared" si="177"/>
        <v>26.07541688707704</v>
      </c>
    </row>
    <row r="248" spans="1:15" x14ac:dyDescent="0.6">
      <c r="A248" s="954"/>
      <c r="B248" s="959"/>
      <c r="C248" s="149"/>
      <c r="D248" s="966"/>
      <c r="E248" s="961"/>
      <c r="F248" s="992"/>
      <c r="G248" s="993"/>
      <c r="H248" s="993"/>
      <c r="I248" s="993"/>
      <c r="J248" s="993"/>
      <c r="K248" s="993"/>
      <c r="L248" s="993"/>
      <c r="M248" s="993"/>
      <c r="N248" s="993"/>
      <c r="O248" s="993"/>
    </row>
    <row r="249" spans="1:15" x14ac:dyDescent="0.6">
      <c r="A249" s="955" t="s">
        <v>302</v>
      </c>
      <c r="B249" s="958"/>
      <c r="C249" s="59"/>
      <c r="D249" s="59"/>
      <c r="E249" s="173">
        <f>E251*E252</f>
        <v>2751.4879999999998</v>
      </c>
      <c r="F249" s="59">
        <f t="shared" ref="F249:O249" si="178">E249*(1+F250)</f>
        <v>3164.2111999999997</v>
      </c>
      <c r="G249" s="59">
        <f t="shared" si="178"/>
        <v>3607.2007679999992</v>
      </c>
      <c r="H249" s="59">
        <f t="shared" si="178"/>
        <v>4076.1368678399986</v>
      </c>
      <c r="I249" s="59">
        <f t="shared" si="178"/>
        <v>4565.2732919807977</v>
      </c>
      <c r="J249" s="59">
        <f t="shared" si="178"/>
        <v>5067.4533540986849</v>
      </c>
      <c r="K249" s="59">
        <f t="shared" si="178"/>
        <v>5574.1986895085538</v>
      </c>
      <c r="L249" s="59">
        <f t="shared" si="178"/>
        <v>6075.876571564324</v>
      </c>
      <c r="M249" s="59">
        <f t="shared" si="178"/>
        <v>6561.9466972894706</v>
      </c>
      <c r="N249" s="59">
        <f t="shared" si="178"/>
        <v>7021.282966099734</v>
      </c>
      <c r="O249" s="59">
        <f t="shared" si="178"/>
        <v>7442.5599440657188</v>
      </c>
    </row>
    <row r="250" spans="1:15" x14ac:dyDescent="0.6">
      <c r="A250" s="959" t="s">
        <v>261</v>
      </c>
      <c r="B250" s="959"/>
      <c r="C250" s="149"/>
      <c r="D250" s="961"/>
      <c r="E250" s="961"/>
      <c r="F250" s="1005">
        <v>0.15</v>
      </c>
      <c r="G250" s="974">
        <f t="shared" ref="G250:O250" si="179">F250-1%</f>
        <v>0.13999999999999999</v>
      </c>
      <c r="H250" s="974">
        <f t="shared" si="179"/>
        <v>0.12999999999999998</v>
      </c>
      <c r="I250" s="974">
        <f t="shared" si="179"/>
        <v>0.11999999999999998</v>
      </c>
      <c r="J250" s="974">
        <f t="shared" si="179"/>
        <v>0.10999999999999999</v>
      </c>
      <c r="K250" s="974">
        <f t="shared" si="179"/>
        <v>9.9999999999999992E-2</v>
      </c>
      <c r="L250" s="974">
        <f t="shared" si="179"/>
        <v>0.09</v>
      </c>
      <c r="M250" s="974">
        <f t="shared" si="179"/>
        <v>0.08</v>
      </c>
      <c r="N250" s="974">
        <f t="shared" si="179"/>
        <v>7.0000000000000007E-2</v>
      </c>
      <c r="O250" s="974">
        <f t="shared" si="179"/>
        <v>6.0000000000000005E-2</v>
      </c>
    </row>
    <row r="251" spans="1:15" s="32" customFormat="1" ht="14.4" x14ac:dyDescent="0.55000000000000004">
      <c r="A251" s="959" t="s">
        <v>298</v>
      </c>
      <c r="B251" s="959"/>
      <c r="C251" s="172">
        <v>19.238</v>
      </c>
      <c r="D251" s="172">
        <v>19.262</v>
      </c>
      <c r="E251" s="1022">
        <v>21.495999999999999</v>
      </c>
      <c r="F251" s="172">
        <v>20.463000000000001</v>
      </c>
      <c r="G251" s="178">
        <f t="shared" ref="G251:O251" si="180">F251</f>
        <v>20.463000000000001</v>
      </c>
      <c r="H251" s="178">
        <f t="shared" si="180"/>
        <v>20.463000000000001</v>
      </c>
      <c r="I251" s="178">
        <f t="shared" si="180"/>
        <v>20.463000000000001</v>
      </c>
      <c r="J251" s="178">
        <f t="shared" si="180"/>
        <v>20.463000000000001</v>
      </c>
      <c r="K251" s="178">
        <f t="shared" si="180"/>
        <v>20.463000000000001</v>
      </c>
      <c r="L251" s="178">
        <f t="shared" si="180"/>
        <v>20.463000000000001</v>
      </c>
      <c r="M251" s="178">
        <f t="shared" si="180"/>
        <v>20.463000000000001</v>
      </c>
      <c r="N251" s="178">
        <f t="shared" si="180"/>
        <v>20.463000000000001</v>
      </c>
      <c r="O251" s="178">
        <f t="shared" si="180"/>
        <v>20.463000000000001</v>
      </c>
    </row>
    <row r="252" spans="1:15" x14ac:dyDescent="0.6">
      <c r="A252" s="955" t="s">
        <v>294</v>
      </c>
      <c r="B252" s="959"/>
      <c r="C252" s="97">
        <f>C249/C251</f>
        <v>0</v>
      </c>
      <c r="D252" s="97">
        <f>D249/D251</f>
        <v>0</v>
      </c>
      <c r="E252" s="173">
        <v>128</v>
      </c>
      <c r="F252" s="97">
        <f t="shared" ref="F252:O252" si="181">F249/F251</f>
        <v>154.63085569075892</v>
      </c>
      <c r="G252" s="97">
        <f t="shared" si="181"/>
        <v>176.27917548746512</v>
      </c>
      <c r="H252" s="97">
        <f t="shared" si="181"/>
        <v>199.19546830083559</v>
      </c>
      <c r="I252" s="97">
        <f t="shared" si="181"/>
        <v>223.09892449693581</v>
      </c>
      <c r="J252" s="97">
        <f t="shared" si="181"/>
        <v>247.63980619159872</v>
      </c>
      <c r="K252" s="97">
        <f t="shared" si="181"/>
        <v>272.40378681075862</v>
      </c>
      <c r="L252" s="97">
        <f t="shared" si="181"/>
        <v>296.9201276237269</v>
      </c>
      <c r="M252" s="97">
        <f t="shared" si="181"/>
        <v>320.67373783362507</v>
      </c>
      <c r="N252" s="97">
        <f t="shared" si="181"/>
        <v>343.12089948197888</v>
      </c>
      <c r="O252" s="97">
        <f t="shared" si="181"/>
        <v>363.70815345089767</v>
      </c>
    </row>
    <row r="253" spans="1:15" x14ac:dyDescent="0.6">
      <c r="A253" s="959"/>
      <c r="B253" s="959"/>
      <c r="C253" s="178"/>
      <c r="D253" s="1011"/>
      <c r="E253" s="1011"/>
      <c r="F253" s="1011"/>
      <c r="G253" s="1012"/>
      <c r="H253" s="1012"/>
      <c r="I253" s="1012"/>
      <c r="J253" s="1012"/>
      <c r="K253" s="1012"/>
      <c r="L253" s="1012"/>
      <c r="M253" s="1012"/>
      <c r="N253" s="1012"/>
      <c r="O253" s="1012"/>
    </row>
    <row r="254" spans="1:15" x14ac:dyDescent="0.6">
      <c r="A254" s="168" t="s">
        <v>297</v>
      </c>
      <c r="B254" s="94"/>
      <c r="C254" s="1018"/>
      <c r="D254" s="1018"/>
      <c r="E254" s="1015">
        <f>E242/E252</f>
        <v>0</v>
      </c>
      <c r="F254" s="1015">
        <f>F242/F252</f>
        <v>7.3572789375072108E-3</v>
      </c>
      <c r="G254" s="1015">
        <f>G242/G252</f>
        <v>1.9710387352851348E-2</v>
      </c>
      <c r="H254" s="1015">
        <f>H242/H252</f>
        <v>3.0886760200362483E-2</v>
      </c>
      <c r="I254" s="1017">
        <f t="shared" ref="I254:O254" si="182">I142</f>
        <v>6.8653051303310078E-2</v>
      </c>
      <c r="J254" s="1017">
        <f t="shared" si="182"/>
        <v>0.11300152113891096</v>
      </c>
      <c r="K254" s="1017">
        <f t="shared" si="182"/>
        <v>0.15448217598960184</v>
      </c>
      <c r="L254" s="1017">
        <f t="shared" si="182"/>
        <v>0.18370252387130437</v>
      </c>
      <c r="M254" s="1017">
        <f t="shared" si="182"/>
        <v>0.1931191626436102</v>
      </c>
      <c r="N254" s="1017">
        <f t="shared" si="182"/>
        <v>0.18868659537176238</v>
      </c>
      <c r="O254" s="1017">
        <f t="shared" si="182"/>
        <v>0.17923310654209287</v>
      </c>
    </row>
    <row r="255" spans="1:15" x14ac:dyDescent="0.6">
      <c r="A255" s="168"/>
      <c r="B255" s="94"/>
      <c r="C255" s="1018"/>
      <c r="D255" s="1018"/>
      <c r="E255" s="1019"/>
      <c r="F255" s="1016"/>
      <c r="G255" s="1014"/>
      <c r="H255" s="1014"/>
      <c r="I255" s="1014"/>
      <c r="J255" s="1014"/>
      <c r="K255" s="1014"/>
      <c r="L255" s="1014"/>
      <c r="M255" s="1014"/>
      <c r="N255" s="1014"/>
      <c r="O255" s="1014"/>
    </row>
    <row r="256" spans="1:15" x14ac:dyDescent="0.6">
      <c r="A256" s="955" t="s">
        <v>292</v>
      </c>
      <c r="B256" s="958"/>
      <c r="C256" s="1021">
        <v>1.9099999999999999E-2</v>
      </c>
      <c r="D256" s="1021">
        <v>1.9099999999999999E-2</v>
      </c>
      <c r="E256" s="994">
        <v>1.9099999999999999E-2</v>
      </c>
      <c r="F256" s="1020">
        <f>E256</f>
        <v>1.9099999999999999E-2</v>
      </c>
      <c r="G256" s="278">
        <f>F256-0.1%</f>
        <v>1.8099999999999998E-2</v>
      </c>
      <c r="H256" s="278">
        <f>G256-0.1%</f>
        <v>1.7099999999999997E-2</v>
      </c>
      <c r="I256" s="278">
        <f>H256-0.1%</f>
        <v>1.6099999999999996E-2</v>
      </c>
      <c r="J256" s="278">
        <f>I256-0.1%</f>
        <v>1.5099999999999995E-2</v>
      </c>
      <c r="K256" s="278">
        <f t="shared" ref="K256:O257" si="183">J256</f>
        <v>1.5099999999999995E-2</v>
      </c>
      <c r="L256" s="278">
        <f t="shared" si="183"/>
        <v>1.5099999999999995E-2</v>
      </c>
      <c r="M256" s="278">
        <f t="shared" si="183"/>
        <v>1.5099999999999995E-2</v>
      </c>
      <c r="N256" s="278">
        <f t="shared" si="183"/>
        <v>1.5099999999999995E-2</v>
      </c>
      <c r="O256" s="278">
        <f t="shared" si="183"/>
        <v>1.5099999999999995E-2</v>
      </c>
    </row>
    <row r="257" spans="1:15" x14ac:dyDescent="0.6">
      <c r="A257" s="955" t="s">
        <v>293</v>
      </c>
      <c r="B257" s="958"/>
      <c r="C257" s="1021">
        <v>1.15E-2</v>
      </c>
      <c r="D257" s="1021">
        <v>1.15E-2</v>
      </c>
      <c r="E257" s="994">
        <v>1.15E-2</v>
      </c>
      <c r="F257" s="1020">
        <f>E257</f>
        <v>1.15E-2</v>
      </c>
      <c r="G257" s="278">
        <f>F257-0.25%</f>
        <v>8.9999999999999993E-3</v>
      </c>
      <c r="H257" s="278">
        <f>G257-0.25%</f>
        <v>6.4999999999999988E-3</v>
      </c>
      <c r="I257" s="278">
        <f>H257-0.15%</f>
        <v>4.9999999999999992E-3</v>
      </c>
      <c r="J257" s="278">
        <f>I257</f>
        <v>4.9999999999999992E-3</v>
      </c>
      <c r="K257" s="278">
        <f t="shared" si="183"/>
        <v>4.9999999999999992E-3</v>
      </c>
      <c r="L257" s="278">
        <f t="shared" si="183"/>
        <v>4.9999999999999992E-3</v>
      </c>
      <c r="M257" s="278">
        <f t="shared" si="183"/>
        <v>4.9999999999999992E-3</v>
      </c>
      <c r="N257" s="278">
        <f t="shared" si="183"/>
        <v>4.9999999999999992E-3</v>
      </c>
      <c r="O257" s="278">
        <f t="shared" si="183"/>
        <v>4.9999999999999992E-3</v>
      </c>
    </row>
    <row r="258" spans="1:15" x14ac:dyDescent="0.6">
      <c r="A258" s="959"/>
      <c r="B258" s="959"/>
      <c r="C258" s="149"/>
      <c r="D258" s="966"/>
      <c r="E258" s="961"/>
      <c r="F258" s="992"/>
      <c r="G258" s="993"/>
      <c r="H258" s="993"/>
      <c r="I258" s="993"/>
      <c r="J258" s="993"/>
      <c r="K258" s="993"/>
      <c r="L258" s="993"/>
      <c r="M258" s="993"/>
      <c r="N258" s="993"/>
      <c r="O258" s="993"/>
    </row>
    <row r="259" spans="1:15" x14ac:dyDescent="0.6">
      <c r="A259" s="955" t="s">
        <v>237</v>
      </c>
      <c r="B259" s="959"/>
      <c r="C259" s="59">
        <v>0</v>
      </c>
      <c r="D259" s="59">
        <v>0</v>
      </c>
      <c r="E259" s="1003">
        <f t="shared" ref="E259:O259" si="184">((E256*E246)+(E257*E247))*1000</f>
        <v>0</v>
      </c>
      <c r="F259" s="1003">
        <f t="shared" si="184"/>
        <v>18.270857142857142</v>
      </c>
      <c r="G259" s="1002">
        <f t="shared" si="184"/>
        <v>50.241715817694377</v>
      </c>
      <c r="H259" s="1002">
        <f t="shared" si="184"/>
        <v>79.121184238551621</v>
      </c>
      <c r="I259" s="1002">
        <f t="shared" si="184"/>
        <v>178.5894794612887</v>
      </c>
      <c r="J259" s="1002">
        <f t="shared" si="184"/>
        <v>309.49944322380497</v>
      </c>
      <c r="K259" s="1002">
        <f t="shared" si="184"/>
        <v>465.4217188617294</v>
      </c>
      <c r="L259" s="1002">
        <f t="shared" si="184"/>
        <v>603.26744376931265</v>
      </c>
      <c r="M259" s="1002">
        <f t="shared" si="184"/>
        <v>684.92637567842235</v>
      </c>
      <c r="N259" s="1002">
        <f t="shared" si="184"/>
        <v>716.04999642511325</v>
      </c>
      <c r="O259" s="1002">
        <f t="shared" si="184"/>
        <v>720.98527692768005</v>
      </c>
    </row>
    <row r="260" spans="1:15" x14ac:dyDescent="0.6">
      <c r="A260" s="955" t="s">
        <v>238</v>
      </c>
      <c r="B260" s="959"/>
      <c r="C260" s="181"/>
      <c r="D260" s="181"/>
      <c r="E260" s="1024"/>
      <c r="F260" s="1024">
        <f>(F259/1000)/F242</f>
        <v>1.6059999999999998E-2</v>
      </c>
      <c r="G260" s="1025">
        <f t="shared" ref="G260:O260" si="185">(G259/1000)/G242</f>
        <v>1.4459999999999999E-2</v>
      </c>
      <c r="H260" s="1025">
        <f t="shared" si="185"/>
        <v>1.2859999999999996E-2</v>
      </c>
      <c r="I260" s="1025">
        <f t="shared" si="185"/>
        <v>1.1659999999999997E-2</v>
      </c>
      <c r="J260" s="1025">
        <f t="shared" si="185"/>
        <v>1.1059999999999995E-2</v>
      </c>
      <c r="K260" s="1025">
        <f t="shared" si="185"/>
        <v>1.1059999999999997E-2</v>
      </c>
      <c r="L260" s="1025">
        <f t="shared" si="185"/>
        <v>1.1059999999999995E-2</v>
      </c>
      <c r="M260" s="1025">
        <f t="shared" si="185"/>
        <v>1.1059999999999999E-2</v>
      </c>
      <c r="N260" s="1025">
        <f t="shared" si="185"/>
        <v>1.1059999999999997E-2</v>
      </c>
      <c r="O260" s="1025">
        <f t="shared" si="185"/>
        <v>1.1059999999999997E-2</v>
      </c>
    </row>
    <row r="261" spans="1:15" x14ac:dyDescent="0.6">
      <c r="A261" s="959"/>
      <c r="B261" s="959"/>
      <c r="C261" s="149"/>
      <c r="D261" s="966"/>
      <c r="E261" s="961"/>
      <c r="F261" s="992"/>
      <c r="G261" s="993"/>
      <c r="H261" s="993"/>
      <c r="I261" s="993"/>
      <c r="J261" s="993"/>
      <c r="K261" s="993"/>
      <c r="L261" s="993"/>
      <c r="M261" s="993"/>
      <c r="N261" s="993"/>
      <c r="O261" s="993"/>
    </row>
    <row r="262" spans="1:15" x14ac:dyDescent="0.6">
      <c r="A262" s="959"/>
      <c r="B262" s="959"/>
      <c r="C262" s="149"/>
      <c r="D262" s="966"/>
      <c r="E262" s="961"/>
      <c r="F262" s="992"/>
      <c r="G262" s="993"/>
      <c r="H262" s="993"/>
      <c r="I262" s="993"/>
      <c r="J262" s="993"/>
      <c r="K262" s="993"/>
      <c r="L262" s="993"/>
      <c r="M262" s="993"/>
      <c r="N262" s="993"/>
      <c r="O262" s="993"/>
    </row>
    <row r="263" spans="1:15" x14ac:dyDescent="0.6">
      <c r="A263" s="40" t="s">
        <v>230</v>
      </c>
      <c r="B263" s="959"/>
      <c r="C263" s="149"/>
      <c r="D263" s="966"/>
      <c r="E263" s="961"/>
      <c r="F263" s="992"/>
      <c r="G263" s="993"/>
      <c r="H263" s="993"/>
      <c r="I263" s="993"/>
      <c r="J263" s="993"/>
      <c r="K263" s="993"/>
      <c r="L263" s="993"/>
      <c r="M263" s="993"/>
      <c r="N263" s="993"/>
      <c r="O263" s="993"/>
    </row>
    <row r="264" spans="1:15" x14ac:dyDescent="0.6">
      <c r="A264" s="40"/>
      <c r="B264" s="959"/>
      <c r="C264" s="149"/>
      <c r="D264" s="966"/>
      <c r="E264" s="961"/>
      <c r="F264" s="992"/>
      <c r="G264" s="993"/>
      <c r="H264" s="993"/>
      <c r="I264" s="993"/>
      <c r="J264" s="993"/>
      <c r="K264" s="993"/>
      <c r="L264" s="993"/>
      <c r="M264" s="993"/>
      <c r="N264" s="993"/>
      <c r="O264" s="993"/>
    </row>
    <row r="265" spans="1:15" x14ac:dyDescent="0.6">
      <c r="A265" s="955" t="s">
        <v>1305</v>
      </c>
      <c r="B265" s="959"/>
      <c r="C265" s="951">
        <f t="shared" ref="C265:H265" si="186">C27</f>
        <v>0</v>
      </c>
      <c r="D265" s="951">
        <f t="shared" si="186"/>
        <v>0</v>
      </c>
      <c r="E265" s="951">
        <f t="shared" si="186"/>
        <v>0</v>
      </c>
      <c r="F265" s="951">
        <f t="shared" si="186"/>
        <v>1.8552875695732854E-3</v>
      </c>
      <c r="G265" s="951">
        <f t="shared" si="186"/>
        <v>6.7024128686325535E-3</v>
      </c>
      <c r="H265" s="951">
        <f t="shared" si="186"/>
        <v>9.5846645367413021E-3</v>
      </c>
      <c r="I265" s="974">
        <f t="shared" ref="I265:O265" si="187">I266/I193</f>
        <v>1.1486327535099794E-2</v>
      </c>
      <c r="J265" s="974">
        <f t="shared" si="187"/>
        <v>1.1855990695345667E-2</v>
      </c>
      <c r="K265" s="974">
        <f t="shared" si="187"/>
        <v>1.4574140761200609E-2</v>
      </c>
      <c r="L265" s="974">
        <f t="shared" si="187"/>
        <v>1.686719501006886E-2</v>
      </c>
      <c r="M265" s="974">
        <f t="shared" si="187"/>
        <v>1.9083173220799655E-2</v>
      </c>
      <c r="N265" s="974">
        <f t="shared" si="187"/>
        <v>1.8580238711439278E-2</v>
      </c>
      <c r="O265" s="974">
        <f t="shared" si="187"/>
        <v>1.7531360855124564E-2</v>
      </c>
    </row>
    <row r="266" spans="1:15" x14ac:dyDescent="0.6">
      <c r="A266" s="955" t="s">
        <v>157</v>
      </c>
      <c r="B266" s="959"/>
      <c r="C266" s="211">
        <f>C265*C193</f>
        <v>0</v>
      </c>
      <c r="D266" s="211">
        <f>D265*D193</f>
        <v>0</v>
      </c>
      <c r="E266" s="211">
        <f>E265*E193</f>
        <v>0</v>
      </c>
      <c r="F266" s="211">
        <f>F265*F193</f>
        <v>8.1261595547309898E-2</v>
      </c>
      <c r="G266" s="211">
        <f>G265*G193</f>
        <v>0.54289544235923681</v>
      </c>
      <c r="H266" s="211">
        <f t="shared" ref="H266:O266" ca="1" si="188">H278*H276</f>
        <v>0.59718498659516051</v>
      </c>
      <c r="I266" s="211">
        <f t="shared" si="188"/>
        <v>1.7306258872065665</v>
      </c>
      <c r="J266" s="211">
        <f t="shared" si="188"/>
        <v>2.3725900240085194</v>
      </c>
      <c r="K266" s="211">
        <f t="shared" si="188"/>
        <v>3.635229690565112</v>
      </c>
      <c r="L266" s="211">
        <f t="shared" si="188"/>
        <v>5.1007090648238433</v>
      </c>
      <c r="M266" s="211">
        <f t="shared" si="188"/>
        <v>6.3997765732519971</v>
      </c>
      <c r="N266" s="211">
        <f t="shared" si="188"/>
        <v>6.7867433840481546</v>
      </c>
      <c r="O266" s="211">
        <f t="shared" si="188"/>
        <v>6.9289005156330719</v>
      </c>
    </row>
    <row r="267" spans="1:15" x14ac:dyDescent="0.6">
      <c r="A267" s="954" t="s">
        <v>288</v>
      </c>
      <c r="B267" s="959"/>
      <c r="C267" s="968">
        <v>0.71</v>
      </c>
      <c r="D267" s="968">
        <v>0.7</v>
      </c>
      <c r="E267" s="1006">
        <v>0.63</v>
      </c>
      <c r="F267" s="1006">
        <v>0.6</v>
      </c>
      <c r="G267" s="1006">
        <v>0.6</v>
      </c>
      <c r="H267" s="960">
        <f t="shared" ref="H267:O267" si="189">G267</f>
        <v>0.6</v>
      </c>
      <c r="I267" s="960">
        <f t="shared" si="189"/>
        <v>0.6</v>
      </c>
      <c r="J267" s="960">
        <f t="shared" si="189"/>
        <v>0.6</v>
      </c>
      <c r="K267" s="960">
        <f t="shared" si="189"/>
        <v>0.6</v>
      </c>
      <c r="L267" s="960">
        <f t="shared" si="189"/>
        <v>0.6</v>
      </c>
      <c r="M267" s="960">
        <f t="shared" si="189"/>
        <v>0.6</v>
      </c>
      <c r="N267" s="960">
        <f t="shared" si="189"/>
        <v>0.6</v>
      </c>
      <c r="O267" s="960">
        <f t="shared" si="189"/>
        <v>0.6</v>
      </c>
    </row>
    <row r="268" spans="1:15" x14ac:dyDescent="0.6">
      <c r="A268" s="954" t="s">
        <v>289</v>
      </c>
      <c r="B268" s="959"/>
      <c r="C268" s="271">
        <f t="shared" ref="C268:O268" si="190">1-C267</f>
        <v>0.29000000000000004</v>
      </c>
      <c r="D268" s="271">
        <f t="shared" si="190"/>
        <v>0.30000000000000004</v>
      </c>
      <c r="E268" s="377">
        <f t="shared" si="190"/>
        <v>0.37</v>
      </c>
      <c r="F268" s="377">
        <f t="shared" si="190"/>
        <v>0.4</v>
      </c>
      <c r="G268" s="377">
        <f>1-G267</f>
        <v>0.4</v>
      </c>
      <c r="H268" s="271">
        <f t="shared" si="190"/>
        <v>0.4</v>
      </c>
      <c r="I268" s="271">
        <f t="shared" si="190"/>
        <v>0.4</v>
      </c>
      <c r="J268" s="271">
        <f t="shared" si="190"/>
        <v>0.4</v>
      </c>
      <c r="K268" s="271">
        <f t="shared" si="190"/>
        <v>0.4</v>
      </c>
      <c r="L268" s="271">
        <f t="shared" si="190"/>
        <v>0.4</v>
      </c>
      <c r="M268" s="271">
        <f t="shared" si="190"/>
        <v>0.4</v>
      </c>
      <c r="N268" s="271">
        <f t="shared" si="190"/>
        <v>0.4</v>
      </c>
      <c r="O268" s="271">
        <f t="shared" si="190"/>
        <v>0.4</v>
      </c>
    </row>
    <row r="269" spans="1:15" x14ac:dyDescent="0.6">
      <c r="A269" s="954"/>
      <c r="B269" s="959"/>
      <c r="C269" s="149"/>
      <c r="D269" s="966"/>
      <c r="E269" s="961"/>
      <c r="F269" s="992"/>
      <c r="G269" s="993"/>
      <c r="H269" s="993"/>
      <c r="I269" s="993"/>
      <c r="J269" s="993"/>
      <c r="K269" s="993"/>
      <c r="L269" s="993"/>
      <c r="M269" s="993"/>
      <c r="N269" s="993"/>
      <c r="O269" s="993"/>
    </row>
    <row r="270" spans="1:15" x14ac:dyDescent="0.6">
      <c r="A270" s="954" t="s">
        <v>290</v>
      </c>
      <c r="B270" s="959"/>
      <c r="C270" s="211">
        <f t="shared" ref="C270:O270" si="191">C267*C$266</f>
        <v>0</v>
      </c>
      <c r="D270" s="211">
        <f t="shared" si="191"/>
        <v>0</v>
      </c>
      <c r="E270" s="211">
        <f t="shared" si="191"/>
        <v>0</v>
      </c>
      <c r="F270" s="211">
        <f t="shared" si="191"/>
        <v>4.875695732838594E-2</v>
      </c>
      <c r="G270" s="211">
        <f t="shared" si="191"/>
        <v>0.3257372654155421</v>
      </c>
      <c r="H270" s="211">
        <f t="shared" ca="1" si="191"/>
        <v>0.35831099195709631</v>
      </c>
      <c r="I270" s="211">
        <f t="shared" si="191"/>
        <v>1.0383755323239399</v>
      </c>
      <c r="J270" s="211">
        <f t="shared" si="191"/>
        <v>1.4235540144051115</v>
      </c>
      <c r="K270" s="211">
        <f t="shared" si="191"/>
        <v>2.1811378143390669</v>
      </c>
      <c r="L270" s="211">
        <f t="shared" si="191"/>
        <v>3.0604254388943057</v>
      </c>
      <c r="M270" s="211">
        <f t="shared" si="191"/>
        <v>3.8398659439511982</v>
      </c>
      <c r="N270" s="211">
        <f t="shared" si="191"/>
        <v>4.0720460304288926</v>
      </c>
      <c r="O270" s="211">
        <f t="shared" si="191"/>
        <v>4.1573403093798431</v>
      </c>
    </row>
    <row r="271" spans="1:15" x14ac:dyDescent="0.6">
      <c r="A271" s="954" t="s">
        <v>291</v>
      </c>
      <c r="B271" s="959"/>
      <c r="C271" s="211">
        <f t="shared" ref="C271:O271" si="192">C268*C$266</f>
        <v>0</v>
      </c>
      <c r="D271" s="211">
        <f t="shared" si="192"/>
        <v>0</v>
      </c>
      <c r="E271" s="211">
        <f t="shared" si="192"/>
        <v>0</v>
      </c>
      <c r="F271" s="211">
        <f t="shared" si="192"/>
        <v>3.2504638218923958E-2</v>
      </c>
      <c r="G271" s="211">
        <f t="shared" si="192"/>
        <v>0.21715817694369474</v>
      </c>
      <c r="H271" s="211">
        <f t="shared" ca="1" si="192"/>
        <v>0.23887399463806422</v>
      </c>
      <c r="I271" s="211">
        <f t="shared" si="192"/>
        <v>0.69225035488262665</v>
      </c>
      <c r="J271" s="211">
        <f t="shared" si="192"/>
        <v>0.94903600960340784</v>
      </c>
      <c r="K271" s="211">
        <f t="shared" si="192"/>
        <v>1.4540918762260449</v>
      </c>
      <c r="L271" s="211">
        <f t="shared" si="192"/>
        <v>2.0402836259295376</v>
      </c>
      <c r="M271" s="211">
        <f t="shared" si="192"/>
        <v>2.5599106293007989</v>
      </c>
      <c r="N271" s="211">
        <f t="shared" si="192"/>
        <v>2.714697353619262</v>
      </c>
      <c r="O271" s="211">
        <f t="shared" si="192"/>
        <v>2.7715602062532287</v>
      </c>
    </row>
    <row r="272" spans="1:15" x14ac:dyDescent="0.6">
      <c r="A272" s="954"/>
      <c r="B272" s="959"/>
      <c r="C272" s="149"/>
      <c r="D272" s="966"/>
      <c r="E272" s="961"/>
      <c r="F272" s="992"/>
      <c r="G272" s="993"/>
      <c r="H272" s="993"/>
      <c r="I272" s="993"/>
      <c r="J272" s="993"/>
      <c r="K272" s="993"/>
      <c r="L272" s="993"/>
      <c r="M272" s="993"/>
      <c r="N272" s="993"/>
      <c r="O272" s="993"/>
    </row>
    <row r="273" spans="1:15" x14ac:dyDescent="0.6">
      <c r="A273" s="955" t="s">
        <v>295</v>
      </c>
      <c r="B273" s="958"/>
      <c r="C273" s="173">
        <v>249000</v>
      </c>
      <c r="D273" s="59">
        <f t="shared" ref="D273:O273" si="193">C273*(1+D274)</f>
        <v>286350</v>
      </c>
      <c r="E273" s="59">
        <f t="shared" si="193"/>
        <v>325723.125</v>
      </c>
      <c r="F273" s="59">
        <f t="shared" si="193"/>
        <v>366438.515625</v>
      </c>
      <c r="G273" s="59">
        <f t="shared" si="193"/>
        <v>407662.8486328125</v>
      </c>
      <c r="H273" s="59">
        <f t="shared" si="193"/>
        <v>448429.1334960938</v>
      </c>
      <c r="I273" s="59">
        <f t="shared" si="193"/>
        <v>487666.68267700198</v>
      </c>
      <c r="J273" s="59">
        <f t="shared" si="193"/>
        <v>524241.68387777713</v>
      </c>
      <c r="K273" s="59">
        <f t="shared" si="193"/>
        <v>557006.78912013816</v>
      </c>
      <c r="L273" s="59">
        <f t="shared" si="193"/>
        <v>584857.12857614504</v>
      </c>
      <c r="M273" s="59">
        <f t="shared" si="193"/>
        <v>606789.27089775051</v>
      </c>
      <c r="N273" s="59">
        <f t="shared" si="193"/>
        <v>621959.00267019426</v>
      </c>
      <c r="O273" s="59">
        <f t="shared" si="193"/>
        <v>629733.49020357162</v>
      </c>
    </row>
    <row r="274" spans="1:15" x14ac:dyDescent="0.6">
      <c r="A274" s="959" t="s">
        <v>261</v>
      </c>
      <c r="B274" s="959"/>
      <c r="C274" s="149"/>
      <c r="D274" s="315">
        <v>0.15</v>
      </c>
      <c r="E274" s="961">
        <f t="shared" ref="E274:O274" si="194">D274-1.25%</f>
        <v>0.13749999999999998</v>
      </c>
      <c r="F274" s="961">
        <f t="shared" si="194"/>
        <v>0.12499999999999999</v>
      </c>
      <c r="G274" s="961">
        <f t="shared" si="194"/>
        <v>0.11249999999999999</v>
      </c>
      <c r="H274" s="961">
        <f t="shared" si="194"/>
        <v>9.9999999999999992E-2</v>
      </c>
      <c r="I274" s="961">
        <f t="shared" si="194"/>
        <v>8.7499999999999994E-2</v>
      </c>
      <c r="J274" s="961">
        <f t="shared" si="194"/>
        <v>7.4999999999999997E-2</v>
      </c>
      <c r="K274" s="961">
        <f t="shared" si="194"/>
        <v>6.25E-2</v>
      </c>
      <c r="L274" s="961">
        <f t="shared" si="194"/>
        <v>0.05</v>
      </c>
      <c r="M274" s="961">
        <f t="shared" si="194"/>
        <v>3.7500000000000006E-2</v>
      </c>
      <c r="N274" s="961">
        <f t="shared" si="194"/>
        <v>2.5000000000000005E-2</v>
      </c>
      <c r="O274" s="961">
        <f t="shared" si="194"/>
        <v>1.2500000000000004E-2</v>
      </c>
    </row>
    <row r="275" spans="1:15" x14ac:dyDescent="0.6">
      <c r="A275" s="959" t="s">
        <v>299</v>
      </c>
      <c r="B275" s="959"/>
      <c r="C275" s="173">
        <v>2956.43</v>
      </c>
      <c r="D275" s="173">
        <v>3281.09</v>
      </c>
      <c r="E275" s="1023">
        <v>3693.36</v>
      </c>
      <c r="F275" s="173">
        <v>3749</v>
      </c>
      <c r="G275" s="173">
        <v>4260</v>
      </c>
      <c r="H275" s="97">
        <f t="shared" ref="H275:O275" si="195">G275</f>
        <v>4260</v>
      </c>
      <c r="I275" s="97">
        <f t="shared" si="195"/>
        <v>4260</v>
      </c>
      <c r="J275" s="97">
        <f t="shared" si="195"/>
        <v>4260</v>
      </c>
      <c r="K275" s="97">
        <f t="shared" si="195"/>
        <v>4260</v>
      </c>
      <c r="L275" s="97">
        <f t="shared" si="195"/>
        <v>4260</v>
      </c>
      <c r="M275" s="97">
        <f t="shared" si="195"/>
        <v>4260</v>
      </c>
      <c r="N275" s="97">
        <f t="shared" si="195"/>
        <v>4260</v>
      </c>
      <c r="O275" s="97">
        <f t="shared" si="195"/>
        <v>4260</v>
      </c>
    </row>
    <row r="276" spans="1:15" x14ac:dyDescent="0.6">
      <c r="A276" s="955" t="s">
        <v>294</v>
      </c>
      <c r="B276" s="959"/>
      <c r="C276" s="97">
        <f t="shared" ref="C276:O276" si="196">C273/C275</f>
        <v>84.223201631697691</v>
      </c>
      <c r="D276" s="97">
        <f t="shared" si="196"/>
        <v>87.272827017850773</v>
      </c>
      <c r="E276" s="97">
        <f t="shared" si="196"/>
        <v>88.191545097147312</v>
      </c>
      <c r="F276" s="97">
        <f t="shared" si="196"/>
        <v>97.743002300613497</v>
      </c>
      <c r="G276" s="97">
        <f t="shared" si="196"/>
        <v>95.695504373899652</v>
      </c>
      <c r="H276" s="97">
        <f t="shared" si="196"/>
        <v>105.26505481128963</v>
      </c>
      <c r="I276" s="97">
        <f t="shared" si="196"/>
        <v>114.47574710727746</v>
      </c>
      <c r="J276" s="97">
        <f t="shared" si="196"/>
        <v>123.06142814032327</v>
      </c>
      <c r="K276" s="97">
        <f t="shared" si="196"/>
        <v>130.75276739909347</v>
      </c>
      <c r="L276" s="97">
        <f t="shared" si="196"/>
        <v>137.29040576904814</v>
      </c>
      <c r="M276" s="97">
        <f t="shared" si="196"/>
        <v>142.43879598538746</v>
      </c>
      <c r="N276" s="97">
        <f t="shared" si="196"/>
        <v>145.99976588502213</v>
      </c>
      <c r="O276" s="97">
        <f t="shared" si="196"/>
        <v>147.8247629585849</v>
      </c>
    </row>
    <row r="277" spans="1:15" x14ac:dyDescent="0.6">
      <c r="A277" s="959"/>
      <c r="B277" s="959"/>
      <c r="C277" s="178"/>
      <c r="D277" s="1011"/>
      <c r="E277" s="1011"/>
      <c r="F277" s="1011"/>
      <c r="G277" s="1012"/>
      <c r="H277" s="1012"/>
      <c r="I277" s="1012"/>
      <c r="J277" s="1012"/>
      <c r="K277" s="1012"/>
      <c r="L277" s="1012"/>
      <c r="M277" s="1012"/>
      <c r="N277" s="1012"/>
      <c r="O277" s="1012"/>
    </row>
    <row r="278" spans="1:15" x14ac:dyDescent="0.6">
      <c r="A278" s="168" t="s">
        <v>296</v>
      </c>
      <c r="B278" s="94"/>
      <c r="C278" s="1014">
        <f t="shared" ref="C278:H278" si="197">C266/C276</f>
        <v>0</v>
      </c>
      <c r="D278" s="1014">
        <f t="shared" si="197"/>
        <v>0</v>
      </c>
      <c r="E278" s="1015">
        <f t="shared" si="197"/>
        <v>0</v>
      </c>
      <c r="F278" s="1015">
        <f t="shared" si="197"/>
        <v>8.3138018717069685E-4</v>
      </c>
      <c r="G278" s="1015">
        <f t="shared" si="197"/>
        <v>5.6731551383860839E-3</v>
      </c>
      <c r="H278" s="1015">
        <f t="shared" ca="1" si="197"/>
        <v>5.6731551383860839E-3</v>
      </c>
      <c r="I278" s="1017">
        <f t="shared" ref="I278:O278" si="198">I173</f>
        <v>1.5117838764439451E-2</v>
      </c>
      <c r="J278" s="1017">
        <f t="shared" si="198"/>
        <v>1.9279721191786642E-2</v>
      </c>
      <c r="K278" s="1017">
        <f t="shared" si="198"/>
        <v>2.7802315491108415E-2</v>
      </c>
      <c r="L278" s="1017">
        <f t="shared" si="198"/>
        <v>3.7152698589909688E-2</v>
      </c>
      <c r="M278" s="1017">
        <f t="shared" si="198"/>
        <v>4.4930010317614164E-2</v>
      </c>
      <c r="N278" s="1017">
        <f t="shared" si="198"/>
        <v>4.648461826570912E-2</v>
      </c>
      <c r="O278" s="1017">
        <f t="shared" si="198"/>
        <v>4.6872393886904437E-2</v>
      </c>
    </row>
    <row r="279" spans="1:15" x14ac:dyDescent="0.6">
      <c r="A279" s="168"/>
      <c r="B279" s="94"/>
      <c r="C279" s="1018"/>
      <c r="D279" s="1018"/>
      <c r="E279" s="1019"/>
      <c r="F279" s="1016"/>
      <c r="G279" s="1014"/>
      <c r="H279" s="1014"/>
      <c r="I279" s="1014"/>
      <c r="J279" s="1014"/>
      <c r="K279" s="1014"/>
      <c r="L279" s="1014"/>
      <c r="M279" s="1014"/>
      <c r="N279" s="1014"/>
      <c r="O279" s="1014"/>
    </row>
    <row r="280" spans="1:15" x14ac:dyDescent="0.6">
      <c r="A280" s="955" t="s">
        <v>292</v>
      </c>
      <c r="B280" s="958"/>
      <c r="C280" s="1021">
        <v>1.35E-2</v>
      </c>
      <c r="D280" s="1021">
        <v>1.35E-2</v>
      </c>
      <c r="E280" s="1021">
        <v>1.35E-2</v>
      </c>
      <c r="F280" s="1020">
        <f t="shared" ref="F280:O280" si="199">E280</f>
        <v>1.35E-2</v>
      </c>
      <c r="G280" s="1020">
        <f t="shared" si="199"/>
        <v>1.35E-2</v>
      </c>
      <c r="H280" s="1020">
        <f t="shared" si="199"/>
        <v>1.35E-2</v>
      </c>
      <c r="I280" s="1020">
        <f t="shared" si="199"/>
        <v>1.35E-2</v>
      </c>
      <c r="J280" s="1020">
        <f t="shared" si="199"/>
        <v>1.35E-2</v>
      </c>
      <c r="K280" s="1020">
        <f t="shared" si="199"/>
        <v>1.35E-2</v>
      </c>
      <c r="L280" s="1020">
        <f t="shared" si="199"/>
        <v>1.35E-2</v>
      </c>
      <c r="M280" s="1020">
        <f t="shared" si="199"/>
        <v>1.35E-2</v>
      </c>
      <c r="N280" s="1020">
        <f t="shared" si="199"/>
        <v>1.35E-2</v>
      </c>
      <c r="O280" s="1020">
        <f t="shared" si="199"/>
        <v>1.35E-2</v>
      </c>
    </row>
    <row r="281" spans="1:15" x14ac:dyDescent="0.6">
      <c r="A281" s="955" t="s">
        <v>293</v>
      </c>
      <c r="B281" s="958"/>
      <c r="C281" s="1021">
        <v>5.0000000000000001E-3</v>
      </c>
      <c r="D281" s="1021">
        <v>5.0000000000000001E-3</v>
      </c>
      <c r="E281" s="994">
        <v>5.0000000000000001E-3</v>
      </c>
      <c r="F281" s="1020">
        <v>5.0000000000000001E-3</v>
      </c>
      <c r="G281" s="278">
        <v>5.0000000000000001E-3</v>
      </c>
      <c r="H281" s="278">
        <v>5.0000000000000001E-3</v>
      </c>
      <c r="I281" s="278">
        <v>5.0000000000000001E-3</v>
      </c>
      <c r="J281" s="278">
        <v>5.0000000000000001E-3</v>
      </c>
      <c r="K281" s="278">
        <v>5.0000000000000001E-3</v>
      </c>
      <c r="L281" s="278">
        <v>5.0000000000000001E-3</v>
      </c>
      <c r="M281" s="278">
        <v>5.0000000000000001E-3</v>
      </c>
      <c r="N281" s="278">
        <v>5.0000000000000001E-3</v>
      </c>
      <c r="O281" s="278">
        <v>5.0000000000000001E-3</v>
      </c>
    </row>
    <row r="282" spans="1:15" x14ac:dyDescent="0.6">
      <c r="A282" s="959"/>
      <c r="B282" s="959"/>
      <c r="C282" s="149"/>
      <c r="D282" s="966"/>
      <c r="E282" s="961"/>
      <c r="F282" s="992"/>
      <c r="G282" s="993"/>
      <c r="H282" s="993"/>
      <c r="I282" s="993"/>
      <c r="J282" s="993"/>
      <c r="K282" s="993"/>
      <c r="L282" s="993"/>
      <c r="M282" s="993"/>
      <c r="N282" s="993"/>
      <c r="O282" s="993"/>
    </row>
    <row r="283" spans="1:15" x14ac:dyDescent="0.6">
      <c r="A283" s="955" t="s">
        <v>237</v>
      </c>
      <c r="B283" s="959"/>
      <c r="C283" s="59">
        <v>0</v>
      </c>
      <c r="D283" s="59">
        <v>0</v>
      </c>
      <c r="E283" s="1003">
        <f t="shared" ref="E283:O283" si="200">((E280*E270)+(E281*E271))*1000</f>
        <v>0</v>
      </c>
      <c r="F283" s="1003">
        <f t="shared" si="200"/>
        <v>0.82074211502783001</v>
      </c>
      <c r="G283" s="1002">
        <f t="shared" si="200"/>
        <v>5.483243967828292</v>
      </c>
      <c r="H283" s="1002">
        <f t="shared" ca="1" si="200"/>
        <v>6.0315683646111218</v>
      </c>
      <c r="I283" s="1002">
        <f t="shared" si="200"/>
        <v>17.47932146078632</v>
      </c>
      <c r="J283" s="1002">
        <f t="shared" si="200"/>
        <v>23.963159242486046</v>
      </c>
      <c r="K283" s="1002">
        <f t="shared" si="200"/>
        <v>36.715819874707627</v>
      </c>
      <c r="L283" s="1002">
        <f t="shared" si="200"/>
        <v>51.517161554720815</v>
      </c>
      <c r="M283" s="1002">
        <f t="shared" si="200"/>
        <v>64.63774338984517</v>
      </c>
      <c r="N283" s="1002">
        <f t="shared" si="200"/>
        <v>68.546108178886357</v>
      </c>
      <c r="O283" s="1002">
        <f t="shared" si="200"/>
        <v>69.981895207894027</v>
      </c>
    </row>
    <row r="284" spans="1:15" x14ac:dyDescent="0.6">
      <c r="A284" s="955" t="s">
        <v>238</v>
      </c>
      <c r="B284" s="959"/>
      <c r="C284" s="181"/>
      <c r="D284" s="181"/>
      <c r="E284" s="267"/>
      <c r="F284" s="268">
        <f t="shared" ref="F284:O284" si="201">(F283/1000)/F266</f>
        <v>1.01E-2</v>
      </c>
      <c r="G284" s="268">
        <f t="shared" si="201"/>
        <v>1.01E-2</v>
      </c>
      <c r="H284" s="268">
        <f t="shared" ca="1" si="201"/>
        <v>1.0100000000000001E-2</v>
      </c>
      <c r="I284" s="268">
        <f t="shared" si="201"/>
        <v>1.01E-2</v>
      </c>
      <c r="J284" s="268">
        <f t="shared" si="201"/>
        <v>1.01E-2</v>
      </c>
      <c r="K284" s="268">
        <f t="shared" si="201"/>
        <v>1.01E-2</v>
      </c>
      <c r="L284" s="268">
        <f t="shared" si="201"/>
        <v>1.01E-2</v>
      </c>
      <c r="M284" s="268">
        <f t="shared" si="201"/>
        <v>1.01E-2</v>
      </c>
      <c r="N284" s="268">
        <f t="shared" si="201"/>
        <v>1.01E-2</v>
      </c>
      <c r="O284" s="268">
        <f t="shared" si="201"/>
        <v>1.01E-2</v>
      </c>
    </row>
    <row r="285" spans="1:15" x14ac:dyDescent="0.6">
      <c r="A285" s="167"/>
      <c r="B285" s="92"/>
      <c r="C285" s="181"/>
      <c r="D285" s="181"/>
      <c r="E285" s="226"/>
      <c r="F285" s="226"/>
      <c r="G285" s="181"/>
      <c r="H285" s="181"/>
      <c r="I285" s="181"/>
      <c r="J285" s="181"/>
      <c r="K285" s="181"/>
      <c r="L285" s="181"/>
      <c r="M285" s="181"/>
      <c r="N285" s="181"/>
      <c r="O285" s="181"/>
    </row>
    <row r="286" spans="1:15" x14ac:dyDescent="0.6">
      <c r="A286" s="167"/>
      <c r="B286" s="92"/>
      <c r="C286" s="181"/>
      <c r="D286" s="181"/>
      <c r="E286" s="226"/>
      <c r="F286" s="226"/>
      <c r="G286" s="181"/>
      <c r="H286" s="181"/>
      <c r="I286" s="181"/>
      <c r="J286" s="181"/>
      <c r="K286" s="181"/>
      <c r="L286" s="181"/>
      <c r="M286" s="181"/>
      <c r="N286" s="181"/>
      <c r="O286" s="181"/>
    </row>
    <row r="287" spans="1:15" s="101" customFormat="1" ht="15.9" thickBot="1" x14ac:dyDescent="0.65">
      <c r="A287" s="198" t="s">
        <v>398</v>
      </c>
      <c r="B287" s="196"/>
      <c r="C287" s="197"/>
      <c r="D287" s="197"/>
      <c r="E287" s="197"/>
      <c r="F287" s="197"/>
      <c r="G287" s="197"/>
      <c r="H287" s="197"/>
      <c r="I287" s="197"/>
      <c r="J287" s="197"/>
      <c r="K287" s="197"/>
      <c r="L287" s="197"/>
      <c r="M287" s="197"/>
      <c r="N287" s="197"/>
      <c r="O287" s="197"/>
    </row>
    <row r="288" spans="1:15" x14ac:dyDescent="0.6">
      <c r="A288" s="167"/>
      <c r="B288" s="92"/>
      <c r="C288" s="181"/>
      <c r="D288" s="181"/>
      <c r="E288" s="226"/>
      <c r="F288" s="226"/>
      <c r="G288" s="181"/>
      <c r="H288" s="181"/>
      <c r="I288" s="181"/>
      <c r="J288" s="181"/>
      <c r="K288" s="181"/>
      <c r="L288" s="181"/>
      <c r="M288" s="181"/>
      <c r="N288" s="181"/>
      <c r="O288" s="181"/>
    </row>
    <row r="289" spans="1:16" x14ac:dyDescent="0.6">
      <c r="A289" s="167" t="s">
        <v>610</v>
      </c>
      <c r="B289" s="92"/>
      <c r="C289" s="181"/>
      <c r="D289" s="181"/>
      <c r="E289" s="377">
        <f>Summary!D23/(Summary!D23+Summary!D31+Summary!D39)</f>
        <v>1</v>
      </c>
      <c r="F289" s="377">
        <f>Summary!E23/(Summary!E23+Summary!E31+Summary!E39)</f>
        <v>0.95889093090002298</v>
      </c>
      <c r="G289" s="377">
        <f>Summary!F23/(Summary!F23+Summary!F31+Summary!F39)</f>
        <v>0.92211258374007288</v>
      </c>
      <c r="H289" s="377">
        <f>Summary!G23/(Summary!G23+Summary!G31+Summary!G39)</f>
        <v>0.89795965206215134</v>
      </c>
      <c r="I289" s="377">
        <f>Summary!H23/(Summary!H23+Summary!H31+Summary!H39)</f>
        <v>0.89653860195757618</v>
      </c>
      <c r="J289" s="377">
        <f>Summary!I23/(Summary!I23+Summary!I31+Summary!I39)</f>
        <v>0.83774430943574663</v>
      </c>
      <c r="K289" s="377">
        <f>Summary!J23/(Summary!J23+Summary!J31+Summary!J39)</f>
        <v>0.78409163425921957</v>
      </c>
      <c r="L289" s="377">
        <f>Summary!K23/(Summary!K23+Summary!K31+Summary!K39)</f>
        <v>0.74446743071332178</v>
      </c>
      <c r="M289" s="377">
        <f>Summary!L23/(Summary!L23+Summary!L31+Summary!L39)</f>
        <v>0.72427746115403513</v>
      </c>
      <c r="N289" s="377">
        <f>Summary!M23/(Summary!M23+Summary!M31+Summary!M39)</f>
        <v>0.72073472328472155</v>
      </c>
      <c r="O289" s="377">
        <f>Summary!N23/(Summary!N23+Summary!N31+Summary!N39)</f>
        <v>0.72372885579735402</v>
      </c>
    </row>
    <row r="290" spans="1:16" x14ac:dyDescent="0.6">
      <c r="A290" s="167"/>
      <c r="B290" s="92"/>
      <c r="C290" s="181"/>
      <c r="D290" s="181"/>
      <c r="E290" s="226"/>
      <c r="F290" s="226"/>
      <c r="G290" s="181"/>
      <c r="H290" s="181"/>
      <c r="I290" s="181"/>
      <c r="J290" s="181"/>
      <c r="K290" s="181"/>
      <c r="L290" s="181"/>
      <c r="M290" s="181"/>
      <c r="N290" s="181"/>
      <c r="O290" s="181"/>
    </row>
    <row r="291" spans="1:16" x14ac:dyDescent="0.6">
      <c r="A291" s="167" t="str">
        <f>'Revenue and Expenses breakdown'!A8</f>
        <v>Interest income – credit card</v>
      </c>
      <c r="C291" s="277">
        <f>'Revenue and Expenses breakdown'!B8</f>
        <v>128.5</v>
      </c>
      <c r="D291" s="211">
        <f>'Revenue and Expenses breakdown'!C8</f>
        <v>214.6</v>
      </c>
      <c r="E291" s="211">
        <f>'Revenue and Expenses breakdown'!D8</f>
        <v>217.5</v>
      </c>
      <c r="F291" s="211">
        <f>'Revenue and Expenses breakdown'!E8</f>
        <v>357</v>
      </c>
      <c r="G291" s="211">
        <f>'Revenue and Expenses breakdown'!F8</f>
        <v>1014.875</v>
      </c>
      <c r="H291" s="211">
        <f>'Revenue and Expenses breakdown'!G8</f>
        <v>2521</v>
      </c>
      <c r="I291" s="211">
        <f>'Revenue and Expenses breakdown'!H8</f>
        <v>4076.2347103697962</v>
      </c>
      <c r="J291" s="211">
        <f>'Revenue and Expenses breakdown'!I8</f>
        <v>4788.0902478377484</v>
      </c>
      <c r="K291" s="211">
        <f>'Revenue and Expenses breakdown'!J8</f>
        <v>5778.8414763911251</v>
      </c>
      <c r="L291" s="211">
        <f>'Revenue and Expenses breakdown'!K8</f>
        <v>6457.2221083263457</v>
      </c>
      <c r="M291" s="211">
        <f>'Revenue and Expenses breakdown'!L8</f>
        <v>6897.904271192464</v>
      </c>
      <c r="N291" s="211">
        <f>'Revenue and Expenses breakdown'!M8</f>
        <v>7504.192068937049</v>
      </c>
      <c r="O291" s="211">
        <f>'Revenue and Expenses breakdown'!N8</f>
        <v>8454.4652061876968</v>
      </c>
      <c r="P291" s="211">
        <f>'Revenue and Expenses breakdown'!O8</f>
        <v>0</v>
      </c>
    </row>
    <row r="292" spans="1:16" x14ac:dyDescent="0.6">
      <c r="A292" s="167" t="s">
        <v>399</v>
      </c>
      <c r="C292" s="277"/>
      <c r="D292" s="211"/>
      <c r="E292" s="173">
        <v>10900</v>
      </c>
      <c r="F292" s="97">
        <f>($J$292-$E$292)/($J$1-$E$1)+E292</f>
        <v>11780</v>
      </c>
      <c r="G292" s="97">
        <f>($J$292-$E$292)/($J$1-$E$1)+F292</f>
        <v>12660</v>
      </c>
      <c r="H292" s="97">
        <f>($J$292-$E$292)/($J$1-$E$1)+G292</f>
        <v>13540</v>
      </c>
      <c r="I292" s="97">
        <f>($J$292-$E$292)/($J$1-$E$1)+H292</f>
        <v>14420</v>
      </c>
      <c r="J292" s="173">
        <v>15300</v>
      </c>
      <c r="K292" s="211"/>
      <c r="L292" s="211"/>
      <c r="M292" s="211"/>
      <c r="N292" s="211"/>
      <c r="O292" s="211"/>
      <c r="P292" s="211"/>
    </row>
    <row r="293" spans="1:16" x14ac:dyDescent="0.6">
      <c r="A293" s="167" t="s">
        <v>400</v>
      </c>
      <c r="C293" s="277"/>
      <c r="D293" s="211"/>
      <c r="E293" s="278">
        <f t="shared" ref="E293:J293" si="202">E291/E292*E289</f>
        <v>1.9954128440366974E-2</v>
      </c>
      <c r="F293" s="278">
        <f t="shared" si="202"/>
        <v>2.9059767600280832E-2</v>
      </c>
      <c r="G293" s="278">
        <f t="shared" si="202"/>
        <v>7.3920142845434939E-2</v>
      </c>
      <c r="H293" s="278">
        <f t="shared" si="202"/>
        <v>0.1671902719976871</v>
      </c>
      <c r="I293" s="278">
        <f t="shared" si="202"/>
        <v>0.25343285495741208</v>
      </c>
      <c r="J293" s="278">
        <f t="shared" si="202"/>
        <v>0.26216963125430509</v>
      </c>
      <c r="K293" s="211"/>
      <c r="L293" s="211"/>
      <c r="M293" s="211"/>
      <c r="N293" s="211"/>
      <c r="O293" s="211"/>
      <c r="P293" s="211"/>
    </row>
    <row r="294" spans="1:16" x14ac:dyDescent="0.6">
      <c r="A294" s="167"/>
      <c r="B294" s="92"/>
      <c r="C294" s="181"/>
      <c r="D294" s="181"/>
      <c r="E294" s="226"/>
      <c r="F294" s="226"/>
      <c r="G294" s="181"/>
      <c r="H294" s="181"/>
      <c r="I294" s="181"/>
      <c r="J294" s="181"/>
      <c r="K294" s="181"/>
      <c r="L294" s="181"/>
      <c r="M294" s="181"/>
      <c r="N294" s="181"/>
      <c r="O294" s="181"/>
    </row>
    <row r="295" spans="1:16" x14ac:dyDescent="0.6">
      <c r="A295" s="167" t="str">
        <f>'Revenue and Expenses breakdown'!A16</f>
        <v>Interest income – lending</v>
      </c>
      <c r="B295" s="92"/>
      <c r="C295" s="277">
        <f>'Revenue and Expenses breakdown'!B16</f>
        <v>0</v>
      </c>
      <c r="D295" s="211">
        <f>'Revenue and Expenses breakdown'!C16</f>
        <v>8.6</v>
      </c>
      <c r="E295" s="211">
        <f>'Revenue and Expenses breakdown'!D16</f>
        <v>38.9</v>
      </c>
      <c r="F295" s="211">
        <f>'Revenue and Expenses breakdown'!E16</f>
        <v>292.70100000000002</v>
      </c>
      <c r="G295" s="211">
        <f>'Revenue and Expenses breakdown'!F16</f>
        <v>932.19600000000003</v>
      </c>
      <c r="H295" s="211">
        <f>'Revenue and Expenses breakdown'!G16</f>
        <v>1650</v>
      </c>
      <c r="I295" s="211">
        <f>'Revenue and Expenses breakdown'!H16</f>
        <v>3260.3364835642315</v>
      </c>
      <c r="J295" s="211">
        <f>'Revenue and Expenses breakdown'!I16</f>
        <v>4750.3494163168734</v>
      </c>
      <c r="K295" s="211">
        <f>'Revenue and Expenses breakdown'!J16</f>
        <v>5979.6318237532596</v>
      </c>
      <c r="L295" s="211">
        <f>'Revenue and Expenses breakdown'!K16</f>
        <v>7064.8046311276285</v>
      </c>
      <c r="M295" s="211">
        <f>'Revenue and Expenses breakdown'!L16</f>
        <v>8163.3859944760079</v>
      </c>
      <c r="N295" s="211">
        <f>'Revenue and Expenses breakdown'!M16</f>
        <v>9093.0876075237611</v>
      </c>
      <c r="O295" s="211">
        <f>'Revenue and Expenses breakdown'!N16</f>
        <v>10329.088650879428</v>
      </c>
      <c r="P295" s="211">
        <f>'Revenue and Expenses breakdown'!O16</f>
        <v>0</v>
      </c>
    </row>
    <row r="296" spans="1:16" x14ac:dyDescent="0.6">
      <c r="A296" s="167" t="s">
        <v>399</v>
      </c>
      <c r="B296" s="92"/>
      <c r="C296" s="277"/>
      <c r="D296" s="211"/>
      <c r="E296" s="173">
        <v>14700</v>
      </c>
      <c r="F296" s="97">
        <f>($J$296-$E$296)/($J$1-$E$1)+E296</f>
        <v>15760</v>
      </c>
      <c r="G296" s="97">
        <f>($J$296-$E$296)/($J$1-$E$1)+F296</f>
        <v>16820</v>
      </c>
      <c r="H296" s="97">
        <f>($J$296-$E$296)/($J$1-$E$1)+G296</f>
        <v>17880</v>
      </c>
      <c r="I296" s="97">
        <f>($J$296-$E$296)/($J$1-$E$1)+H296</f>
        <v>18940</v>
      </c>
      <c r="J296" s="173">
        <v>20000</v>
      </c>
      <c r="K296" s="211"/>
      <c r="L296" s="211"/>
      <c r="M296" s="211"/>
      <c r="N296" s="211"/>
      <c r="O296" s="211"/>
      <c r="P296" s="211"/>
    </row>
    <row r="297" spans="1:16" x14ac:dyDescent="0.6">
      <c r="A297" s="167" t="s">
        <v>400</v>
      </c>
      <c r="B297" s="92"/>
      <c r="C297" s="181"/>
      <c r="D297" s="181"/>
      <c r="E297" s="278">
        <f t="shared" ref="E297:J297" si="203">E295/E296*E289</f>
        <v>2.6462585034013604E-3</v>
      </c>
      <c r="F297" s="278">
        <f t="shared" si="203"/>
        <v>1.7808904464807592E-2</v>
      </c>
      <c r="G297" s="278">
        <f t="shared" si="203"/>
        <v>5.1105211778368666E-2</v>
      </c>
      <c r="H297" s="278">
        <f t="shared" si="203"/>
        <v>8.2865404133252232E-2</v>
      </c>
      <c r="I297" s="278">
        <f t="shared" si="203"/>
        <v>0.15433038610802302</v>
      </c>
      <c r="J297" s="278">
        <f t="shared" si="203"/>
        <v>0.19897890956754408</v>
      </c>
      <c r="K297" s="181"/>
      <c r="L297" s="181"/>
      <c r="M297" s="181"/>
      <c r="N297" s="181"/>
      <c r="O297" s="181"/>
    </row>
    <row r="298" spans="1:16" x14ac:dyDescent="0.6">
      <c r="A298" s="167"/>
      <c r="B298" s="92"/>
      <c r="C298" s="181"/>
      <c r="D298" s="181"/>
      <c r="E298" s="226"/>
      <c r="F298" s="226"/>
      <c r="G298" s="181"/>
      <c r="H298" s="181"/>
      <c r="I298" s="181"/>
      <c r="J298" s="181"/>
      <c r="K298" s="181"/>
      <c r="L298" s="181"/>
      <c r="M298" s="181"/>
      <c r="N298" s="181"/>
      <c r="O298" s="181"/>
    </row>
    <row r="299" spans="1:16" x14ac:dyDescent="0.6">
      <c r="A299" s="167" t="s">
        <v>458</v>
      </c>
      <c r="B299" s="17">
        <v>2020</v>
      </c>
      <c r="C299" s="222">
        <v>2021</v>
      </c>
      <c r="D299" s="18">
        <v>2022</v>
      </c>
      <c r="E299" s="18">
        <v>2023</v>
      </c>
      <c r="F299" s="18">
        <v>2024</v>
      </c>
      <c r="G299" s="18">
        <v>2025</v>
      </c>
      <c r="H299" s="181"/>
      <c r="I299" s="181"/>
      <c r="J299" s="181"/>
      <c r="K299" s="181"/>
      <c r="L299" s="181"/>
      <c r="M299" s="181"/>
      <c r="N299" s="181"/>
      <c r="O299" s="181"/>
    </row>
    <row r="300" spans="1:16" x14ac:dyDescent="0.6">
      <c r="A300" s="200" t="s">
        <v>180</v>
      </c>
      <c r="B300" s="376">
        <f t="shared" ref="B300:G300" si="204">E293</f>
        <v>1.9954128440366974E-2</v>
      </c>
      <c r="C300" s="376">
        <f t="shared" si="204"/>
        <v>2.9059767600280832E-2</v>
      </c>
      <c r="D300" s="376">
        <f t="shared" si="204"/>
        <v>7.3920142845434939E-2</v>
      </c>
      <c r="E300" s="376">
        <f t="shared" si="204"/>
        <v>0.1671902719976871</v>
      </c>
      <c r="F300" s="376">
        <f t="shared" si="204"/>
        <v>0.25343285495741208</v>
      </c>
      <c r="G300" s="376">
        <f t="shared" si="204"/>
        <v>0.26216963125430509</v>
      </c>
      <c r="H300" s="181"/>
      <c r="I300" s="181"/>
      <c r="J300" s="181"/>
      <c r="K300" s="181"/>
      <c r="L300" s="181"/>
      <c r="M300" s="181"/>
      <c r="N300" s="181"/>
      <c r="O300" s="181"/>
    </row>
    <row r="301" spans="1:16" x14ac:dyDescent="0.6">
      <c r="A301" s="200" t="s">
        <v>218</v>
      </c>
      <c r="B301" s="376">
        <f t="shared" ref="B301:G301" si="205">E297</f>
        <v>2.6462585034013604E-3</v>
      </c>
      <c r="C301" s="376">
        <f t="shared" si="205"/>
        <v>1.7808904464807592E-2</v>
      </c>
      <c r="D301" s="376">
        <f t="shared" si="205"/>
        <v>5.1105211778368666E-2</v>
      </c>
      <c r="E301" s="376">
        <f t="shared" si="205"/>
        <v>8.2865404133252232E-2</v>
      </c>
      <c r="F301" s="376">
        <f t="shared" si="205"/>
        <v>0.15433038610802302</v>
      </c>
      <c r="G301" s="376">
        <f t="shared" si="205"/>
        <v>0.19897890956754408</v>
      </c>
      <c r="H301" s="181"/>
      <c r="I301" s="181"/>
      <c r="J301" s="181"/>
      <c r="K301" s="181"/>
      <c r="L301" s="181"/>
      <c r="M301" s="181"/>
      <c r="N301" s="181"/>
      <c r="O301" s="181"/>
    </row>
    <row r="302" spans="1:16" x14ac:dyDescent="0.6">
      <c r="A302" s="167"/>
      <c r="B302" s="92"/>
      <c r="C302" s="181"/>
      <c r="D302" s="181"/>
      <c r="E302" s="226"/>
      <c r="F302" s="226"/>
      <c r="G302" s="181"/>
      <c r="H302" s="181"/>
      <c r="I302" s="181"/>
      <c r="J302" s="181"/>
      <c r="K302" s="181"/>
      <c r="L302" s="181"/>
      <c r="M302" s="181"/>
      <c r="N302" s="181"/>
      <c r="O302" s="181"/>
    </row>
    <row r="303" spans="1:16" x14ac:dyDescent="0.6">
      <c r="A303" s="167"/>
      <c r="B303" s="92"/>
      <c r="C303" s="181"/>
      <c r="D303" s="181"/>
      <c r="E303" s="226"/>
      <c r="F303" s="226"/>
      <c r="G303" s="181"/>
      <c r="H303" s="181"/>
      <c r="I303" s="181"/>
      <c r="J303" s="181"/>
      <c r="K303" s="181"/>
      <c r="L303" s="181"/>
      <c r="M303" s="181"/>
      <c r="N303" s="181"/>
      <c r="O303" s="181"/>
    </row>
    <row r="304" spans="1:16" x14ac:dyDescent="0.6">
      <c r="A304" s="167"/>
      <c r="B304" s="92"/>
      <c r="C304" s="181"/>
      <c r="D304" s="181"/>
      <c r="E304" s="226"/>
      <c r="F304" s="226"/>
      <c r="G304" s="181"/>
      <c r="H304" s="181"/>
      <c r="I304" s="181"/>
      <c r="J304" s="181"/>
      <c r="K304" s="181"/>
      <c r="L304" s="181"/>
      <c r="M304" s="181"/>
      <c r="N304" s="181"/>
      <c r="O304" s="181"/>
    </row>
    <row r="305" spans="1:15" x14ac:dyDescent="0.6">
      <c r="A305" s="167"/>
      <c r="B305" s="92"/>
      <c r="C305" s="181"/>
      <c r="D305" s="181"/>
      <c r="E305" s="226"/>
      <c r="F305" s="226"/>
      <c r="G305" s="181"/>
      <c r="H305" s="181"/>
      <c r="I305" s="181"/>
      <c r="J305" s="181"/>
      <c r="K305" s="181"/>
      <c r="L305" s="181"/>
      <c r="M305" s="181"/>
      <c r="N305" s="181"/>
      <c r="O305" s="181"/>
    </row>
    <row r="306" spans="1:15" x14ac:dyDescent="0.6">
      <c r="A306" s="167"/>
      <c r="B306" s="92"/>
      <c r="C306" s="181"/>
      <c r="D306" s="181"/>
      <c r="E306" s="226"/>
      <c r="F306" s="226"/>
      <c r="G306" s="181"/>
      <c r="H306" s="181"/>
      <c r="I306" s="181"/>
      <c r="J306" s="181"/>
      <c r="K306" s="181"/>
      <c r="L306" s="181"/>
      <c r="M306" s="181"/>
      <c r="N306" s="181"/>
      <c r="O306" s="181"/>
    </row>
    <row r="307" spans="1:15" x14ac:dyDescent="0.6">
      <c r="A307" s="167"/>
      <c r="B307" s="92"/>
      <c r="C307" s="181"/>
      <c r="D307" s="181"/>
      <c r="E307" s="226"/>
      <c r="F307" s="226"/>
      <c r="G307" s="181"/>
      <c r="H307" s="181"/>
      <c r="I307" s="181"/>
      <c r="J307" s="181"/>
      <c r="K307" s="181"/>
      <c r="L307" s="181"/>
      <c r="M307" s="181"/>
      <c r="N307" s="181"/>
      <c r="O307" s="181"/>
    </row>
    <row r="308" spans="1:15" x14ac:dyDescent="0.6">
      <c r="A308" s="167"/>
      <c r="B308" s="92"/>
      <c r="C308" s="181"/>
      <c r="D308" s="181"/>
      <c r="E308" s="226"/>
      <c r="F308" s="226"/>
      <c r="G308" s="181"/>
      <c r="H308" s="181"/>
      <c r="I308" s="181"/>
      <c r="J308" s="181"/>
      <c r="K308" s="181"/>
      <c r="L308" s="181"/>
      <c r="M308" s="181"/>
      <c r="N308" s="181"/>
      <c r="O308" s="181"/>
    </row>
    <row r="309" spans="1:15" x14ac:dyDescent="0.6">
      <c r="A309" s="167"/>
      <c r="B309" s="92"/>
      <c r="C309" s="181"/>
      <c r="D309" s="181"/>
      <c r="E309" s="226"/>
      <c r="F309" s="226"/>
      <c r="G309" s="181"/>
      <c r="H309" s="181"/>
      <c r="I309" s="181"/>
      <c r="J309" s="181"/>
      <c r="K309" s="181"/>
      <c r="L309" s="181"/>
      <c r="M309" s="181"/>
      <c r="N309" s="181"/>
      <c r="O309" s="181"/>
    </row>
    <row r="310" spans="1:15" x14ac:dyDescent="0.6">
      <c r="A310" s="167"/>
      <c r="B310" s="92"/>
      <c r="C310" s="181"/>
      <c r="D310" s="181"/>
      <c r="E310" s="226"/>
      <c r="F310" s="226"/>
      <c r="G310" s="181"/>
      <c r="H310" s="181"/>
      <c r="I310" s="181"/>
      <c r="J310" s="181"/>
      <c r="K310" s="181"/>
      <c r="L310" s="181"/>
      <c r="M310" s="181"/>
      <c r="N310" s="181"/>
      <c r="O310" s="181"/>
    </row>
    <row r="311" spans="1:15" x14ac:dyDescent="0.6">
      <c r="A311" s="167"/>
      <c r="B311" s="92"/>
      <c r="C311" s="181"/>
      <c r="D311" s="181"/>
      <c r="E311" s="226"/>
      <c r="F311" s="226"/>
      <c r="G311" s="181"/>
      <c r="H311" s="181"/>
      <c r="I311" s="181"/>
      <c r="J311" s="181"/>
      <c r="K311" s="181"/>
      <c r="L311" s="181"/>
      <c r="M311" s="181"/>
      <c r="N311" s="181"/>
      <c r="O311" s="181"/>
    </row>
    <row r="312" spans="1:15" x14ac:dyDescent="0.6">
      <c r="A312" s="167"/>
      <c r="B312" s="92"/>
      <c r="C312" s="181"/>
      <c r="D312" s="181"/>
      <c r="E312" s="226"/>
      <c r="F312" s="226"/>
      <c r="G312" s="181"/>
      <c r="H312" s="181"/>
      <c r="I312" s="181"/>
      <c r="J312" s="181"/>
      <c r="K312" s="181"/>
      <c r="L312" s="181"/>
      <c r="M312" s="181"/>
      <c r="N312" s="181"/>
      <c r="O312" s="181"/>
    </row>
    <row r="313" spans="1:15" x14ac:dyDescent="0.6">
      <c r="A313" s="167"/>
      <c r="B313" s="92"/>
      <c r="C313" s="181"/>
      <c r="D313" s="181"/>
      <c r="E313" s="226"/>
      <c r="F313" s="226"/>
      <c r="G313" s="181"/>
      <c r="H313" s="181"/>
      <c r="I313" s="181"/>
      <c r="J313" s="181"/>
      <c r="K313" s="181"/>
      <c r="L313" s="181"/>
      <c r="M313" s="181"/>
      <c r="N313" s="181"/>
      <c r="O313" s="181"/>
    </row>
    <row r="314" spans="1:15" x14ac:dyDescent="0.6">
      <c r="A314" s="167"/>
      <c r="B314" s="92"/>
      <c r="C314" s="181"/>
      <c r="D314" s="181"/>
      <c r="E314" s="226"/>
      <c r="F314" s="226"/>
      <c r="G314" s="181"/>
      <c r="H314" s="181"/>
      <c r="I314" s="181"/>
      <c r="J314" s="181"/>
      <c r="K314" s="181"/>
      <c r="L314" s="181"/>
      <c r="M314" s="181"/>
      <c r="N314" s="181"/>
      <c r="O314" s="181"/>
    </row>
    <row r="315" spans="1:15" x14ac:dyDescent="0.6">
      <c r="A315" s="167"/>
      <c r="B315" s="92"/>
      <c r="C315" s="181"/>
      <c r="D315" s="181"/>
      <c r="E315" s="226"/>
      <c r="F315" s="226"/>
      <c r="G315" s="181"/>
      <c r="H315" s="181"/>
      <c r="I315" s="181"/>
      <c r="J315" s="181"/>
      <c r="K315" s="181"/>
      <c r="L315" s="181"/>
      <c r="M315" s="181"/>
      <c r="N315" s="181"/>
      <c r="O315" s="181"/>
    </row>
    <row r="316" spans="1:15" x14ac:dyDescent="0.6">
      <c r="A316" s="167"/>
      <c r="B316" s="92"/>
      <c r="C316" s="181"/>
      <c r="D316" s="181"/>
      <c r="E316" s="226"/>
      <c r="F316" s="226"/>
      <c r="G316" s="181"/>
      <c r="H316" s="181"/>
      <c r="I316" s="181"/>
      <c r="J316" s="181"/>
      <c r="K316" s="181"/>
      <c r="L316" s="181"/>
      <c r="M316" s="181"/>
      <c r="N316" s="181"/>
      <c r="O316" s="181"/>
    </row>
    <row r="317" spans="1:15" x14ac:dyDescent="0.6">
      <c r="A317" s="167"/>
      <c r="B317" s="92"/>
      <c r="C317" s="181"/>
      <c r="D317" s="181"/>
      <c r="E317" s="226"/>
      <c r="F317" s="226"/>
      <c r="G317" s="181"/>
      <c r="H317" s="181"/>
      <c r="I317" s="181"/>
      <c r="J317" s="181"/>
      <c r="K317" s="181"/>
      <c r="L317" s="181"/>
      <c r="M317" s="181"/>
      <c r="N317" s="181"/>
      <c r="O317" s="181"/>
    </row>
    <row r="318" spans="1:15" x14ac:dyDescent="0.6">
      <c r="A318" s="167"/>
      <c r="B318" s="92"/>
      <c r="C318" s="181"/>
      <c r="D318" s="181"/>
      <c r="E318" s="226"/>
      <c r="F318" s="226"/>
      <c r="G318" s="181"/>
      <c r="H318" s="181"/>
      <c r="I318" s="181"/>
      <c r="J318" s="181"/>
      <c r="K318" s="181"/>
      <c r="L318" s="181"/>
      <c r="M318" s="181"/>
      <c r="N318" s="181"/>
      <c r="O318" s="181"/>
    </row>
    <row r="319" spans="1:15" s="101" customFormat="1" ht="15.9" thickBot="1" x14ac:dyDescent="0.65">
      <c r="A319" s="198" t="s">
        <v>315</v>
      </c>
      <c r="B319" s="196"/>
      <c r="C319" s="197"/>
      <c r="D319" s="197"/>
      <c r="E319" s="197"/>
      <c r="F319" s="197"/>
      <c r="G319" s="197"/>
      <c r="H319" s="197"/>
      <c r="I319" s="197"/>
      <c r="J319" s="197"/>
      <c r="K319" s="197"/>
      <c r="L319" s="197"/>
      <c r="M319" s="197"/>
      <c r="N319" s="197"/>
      <c r="O319" s="197"/>
    </row>
    <row r="320" spans="1:15" x14ac:dyDescent="0.6">
      <c r="A320" s="167"/>
      <c r="B320" s="92"/>
      <c r="C320" s="181"/>
      <c r="D320" s="181"/>
      <c r="E320" s="226"/>
      <c r="F320" s="226"/>
      <c r="G320" s="181"/>
      <c r="H320" s="181"/>
      <c r="I320" s="181"/>
      <c r="J320" s="181"/>
      <c r="K320" s="181"/>
      <c r="L320" s="181"/>
      <c r="M320" s="181"/>
      <c r="N320" s="181"/>
      <c r="O320" s="181"/>
    </row>
    <row r="321" spans="1:15" x14ac:dyDescent="0.6">
      <c r="A321" s="199" t="s">
        <v>316</v>
      </c>
      <c r="B321" s="92"/>
      <c r="C321" s="181"/>
      <c r="D321" s="181"/>
      <c r="E321" s="226"/>
      <c r="F321" s="226"/>
      <c r="G321" s="181"/>
      <c r="H321" s="181"/>
      <c r="I321" s="181"/>
      <c r="J321" s="181"/>
      <c r="K321" s="181"/>
      <c r="L321" s="181"/>
      <c r="M321" s="181"/>
      <c r="N321" s="181"/>
      <c r="O321" s="181"/>
    </row>
    <row r="322" spans="1:15" x14ac:dyDescent="0.6">
      <c r="A322" s="199"/>
      <c r="B322" s="92"/>
      <c r="C322" s="181"/>
      <c r="D322" s="181"/>
      <c r="E322" s="226"/>
      <c r="F322" s="226"/>
      <c r="G322" s="181"/>
      <c r="H322" s="181"/>
      <c r="I322" s="181"/>
      <c r="J322" s="181"/>
      <c r="K322" s="181"/>
      <c r="L322" s="181"/>
      <c r="M322" s="181"/>
      <c r="N322" s="181"/>
      <c r="O322" s="181"/>
    </row>
    <row r="323" spans="1:15" x14ac:dyDescent="0.6">
      <c r="A323" s="199" t="s">
        <v>132</v>
      </c>
      <c r="B323" s="92"/>
      <c r="C323" s="181"/>
      <c r="D323" s="181"/>
      <c r="E323" s="226"/>
      <c r="F323" s="226"/>
      <c r="G323" s="181"/>
      <c r="H323" s="181" t="s">
        <v>575</v>
      </c>
      <c r="I323" s="181"/>
      <c r="J323" s="181"/>
      <c r="K323" s="181"/>
      <c r="L323" s="181"/>
      <c r="M323" s="181"/>
      <c r="N323" s="181"/>
      <c r="O323" s="181"/>
    </row>
    <row r="324" spans="1:15" x14ac:dyDescent="0.6">
      <c r="A324" s="167" t="s">
        <v>323</v>
      </c>
      <c r="B324" s="182">
        <v>0</v>
      </c>
      <c r="C324" s="182">
        <v>0</v>
      </c>
      <c r="D324" s="182">
        <v>0</v>
      </c>
      <c r="E324" s="224">
        <v>0</v>
      </c>
      <c r="F324" s="231">
        <v>0</v>
      </c>
      <c r="G324" s="180">
        <v>0.04</v>
      </c>
      <c r="H324" s="180">
        <v>0.06</v>
      </c>
      <c r="I324" s="180">
        <v>7.0000000000000007E-2</v>
      </c>
      <c r="J324" s="180">
        <v>0.08</v>
      </c>
      <c r="K324" s="180">
        <v>0.09</v>
      </c>
      <c r="L324" s="180">
        <v>0.1</v>
      </c>
      <c r="M324" s="180">
        <v>0.1</v>
      </c>
      <c r="N324" s="180">
        <v>0.1</v>
      </c>
      <c r="O324" s="180">
        <v>0.1</v>
      </c>
    </row>
    <row r="325" spans="1:15" x14ac:dyDescent="0.6">
      <c r="A325" s="167" t="s">
        <v>319</v>
      </c>
      <c r="B325" s="205">
        <f>(B324*B8)+(B324*B8)</f>
        <v>0</v>
      </c>
      <c r="C325" s="205">
        <f t="shared" ref="C325:O325" si="206">0+((C324*C8)+(C324*C8))</f>
        <v>0</v>
      </c>
      <c r="D325" s="205">
        <f t="shared" si="206"/>
        <v>0</v>
      </c>
      <c r="E325" s="228">
        <f t="shared" si="206"/>
        <v>0</v>
      </c>
      <c r="F325" s="228">
        <f t="shared" si="206"/>
        <v>0</v>
      </c>
      <c r="G325" s="205">
        <f t="shared" si="206"/>
        <v>4.8959999999999999</v>
      </c>
      <c r="H325" s="205">
        <f t="shared" si="206"/>
        <v>9.36</v>
      </c>
      <c r="I325" s="205">
        <f t="shared" si="206"/>
        <v>13.188000000000002</v>
      </c>
      <c r="J325" s="205">
        <f t="shared" si="206"/>
        <v>17.056000000000001</v>
      </c>
      <c r="K325" s="205">
        <f t="shared" si="206"/>
        <v>20.951999999999998</v>
      </c>
      <c r="L325" s="205">
        <f t="shared" si="206"/>
        <v>25.08</v>
      </c>
      <c r="M325" s="205">
        <f t="shared" si="206"/>
        <v>26.480000000000004</v>
      </c>
      <c r="N325" s="205">
        <f t="shared" si="206"/>
        <v>27.380000000000003</v>
      </c>
      <c r="O325" s="205">
        <f t="shared" si="206"/>
        <v>28.060000000000002</v>
      </c>
    </row>
    <row r="326" spans="1:15" x14ac:dyDescent="0.6">
      <c r="A326" s="167" t="s">
        <v>469</v>
      </c>
      <c r="B326" s="285">
        <v>0</v>
      </c>
      <c r="C326" s="285">
        <v>0</v>
      </c>
      <c r="D326" s="285">
        <v>0</v>
      </c>
      <c r="E326" s="286">
        <v>0</v>
      </c>
      <c r="F326" s="305">
        <v>1262</v>
      </c>
      <c r="G326" s="306">
        <f>F326</f>
        <v>1262</v>
      </c>
      <c r="H326" s="306">
        <f>G326</f>
        <v>1262</v>
      </c>
      <c r="I326" s="306">
        <v>1300</v>
      </c>
      <c r="J326" s="306">
        <f t="shared" ref="J326:O326" si="207">I326</f>
        <v>1300</v>
      </c>
      <c r="K326" s="306">
        <f t="shared" si="207"/>
        <v>1300</v>
      </c>
      <c r="L326" s="306">
        <f t="shared" si="207"/>
        <v>1300</v>
      </c>
      <c r="M326" s="306">
        <f t="shared" si="207"/>
        <v>1300</v>
      </c>
      <c r="N326" s="306">
        <f t="shared" si="207"/>
        <v>1300</v>
      </c>
      <c r="O326" s="306">
        <f t="shared" si="207"/>
        <v>1300</v>
      </c>
    </row>
    <row r="327" spans="1:15" x14ac:dyDescent="0.6">
      <c r="A327" s="167" t="s">
        <v>468</v>
      </c>
      <c r="B327" s="285"/>
      <c r="C327" s="285"/>
      <c r="D327" s="285"/>
      <c r="E327" s="286"/>
      <c r="F327" s="243">
        <f t="shared" ref="F327:O327" si="208">F326/F4</f>
        <v>233.89428423159612</v>
      </c>
      <c r="G327" s="243">
        <f t="shared" si="208"/>
        <v>244.5736434108527</v>
      </c>
      <c r="H327" s="243">
        <f t="shared" si="208"/>
        <v>252.90581162324648</v>
      </c>
      <c r="I327" s="243">
        <f t="shared" si="208"/>
        <v>240.74074074074073</v>
      </c>
      <c r="J327" s="243">
        <f t="shared" si="208"/>
        <v>233.8129496402878</v>
      </c>
      <c r="K327" s="243">
        <f t="shared" si="208"/>
        <v>233.8129496402878</v>
      </c>
      <c r="L327" s="243">
        <f t="shared" si="208"/>
        <v>233.8129496402878</v>
      </c>
      <c r="M327" s="243">
        <f t="shared" si="208"/>
        <v>233.8129496402878</v>
      </c>
      <c r="N327" s="243">
        <f t="shared" si="208"/>
        <v>233.8129496402878</v>
      </c>
      <c r="O327" s="243">
        <f t="shared" si="208"/>
        <v>233.8129496402878</v>
      </c>
    </row>
    <row r="328" spans="1:15" x14ac:dyDescent="0.6">
      <c r="A328" s="167" t="s">
        <v>324</v>
      </c>
      <c r="B328" s="92"/>
      <c r="C328" s="181"/>
      <c r="D328" s="181"/>
      <c r="E328" s="226"/>
      <c r="F328" s="243">
        <f t="shared" ref="F328:O328" si="209">F326*F325</f>
        <v>0</v>
      </c>
      <c r="G328" s="244">
        <f t="shared" si="209"/>
        <v>6178.7519999999995</v>
      </c>
      <c r="H328" s="244">
        <f t="shared" si="209"/>
        <v>11812.32</v>
      </c>
      <c r="I328" s="244">
        <f t="shared" si="209"/>
        <v>17144.400000000001</v>
      </c>
      <c r="J328" s="244">
        <f t="shared" si="209"/>
        <v>22172.800000000003</v>
      </c>
      <c r="K328" s="244">
        <f t="shared" si="209"/>
        <v>27237.599999999999</v>
      </c>
      <c r="L328" s="244">
        <f t="shared" si="209"/>
        <v>32603.999999999996</v>
      </c>
      <c r="M328" s="244">
        <f t="shared" si="209"/>
        <v>34424.000000000007</v>
      </c>
      <c r="N328" s="244">
        <f t="shared" si="209"/>
        <v>35594</v>
      </c>
      <c r="O328" s="244">
        <f t="shared" si="209"/>
        <v>36478</v>
      </c>
    </row>
    <row r="329" spans="1:15" x14ac:dyDescent="0.6">
      <c r="A329" s="167" t="s">
        <v>327</v>
      </c>
      <c r="B329" s="92"/>
      <c r="C329" s="181"/>
      <c r="D329" s="181"/>
      <c r="E329" s="226"/>
      <c r="F329" s="243">
        <f t="shared" ref="F329:O329" si="210">F328/F4</f>
        <v>0</v>
      </c>
      <c r="G329" s="244">
        <f t="shared" si="210"/>
        <v>1197.4325581395346</v>
      </c>
      <c r="H329" s="244">
        <f t="shared" si="210"/>
        <v>2367.1983967935871</v>
      </c>
      <c r="I329" s="244">
        <f t="shared" si="210"/>
        <v>3174.8888888888891</v>
      </c>
      <c r="J329" s="244">
        <f t="shared" si="210"/>
        <v>3987.9136690647492</v>
      </c>
      <c r="K329" s="244">
        <f t="shared" si="210"/>
        <v>4898.8489208633091</v>
      </c>
      <c r="L329" s="244">
        <f t="shared" si="210"/>
        <v>5864.0287769784172</v>
      </c>
      <c r="M329" s="244">
        <f t="shared" si="210"/>
        <v>6191.3669064748219</v>
      </c>
      <c r="N329" s="244">
        <f t="shared" si="210"/>
        <v>6401.7985611510794</v>
      </c>
      <c r="O329" s="244">
        <f t="shared" si="210"/>
        <v>6560.7913669064756</v>
      </c>
    </row>
    <row r="330" spans="1:15" x14ac:dyDescent="0.6">
      <c r="A330" s="167"/>
      <c r="B330" s="92"/>
      <c r="C330" s="181"/>
      <c r="D330" s="181"/>
      <c r="E330" s="226"/>
      <c r="F330" s="243"/>
      <c r="G330" s="244"/>
      <c r="H330" s="244"/>
      <c r="I330" s="244"/>
      <c r="J330" s="244"/>
      <c r="K330" s="244"/>
      <c r="L330" s="244"/>
      <c r="M330" s="244"/>
      <c r="N330" s="244"/>
      <c r="O330" s="244"/>
    </row>
    <row r="331" spans="1:15" x14ac:dyDescent="0.6">
      <c r="A331" s="167" t="s">
        <v>465</v>
      </c>
      <c r="B331" s="92"/>
      <c r="C331" s="181"/>
      <c r="D331" s="181"/>
      <c r="E331" s="226"/>
      <c r="F331" s="23">
        <v>170857.50000000003</v>
      </c>
      <c r="G331" s="23">
        <v>219237.15</v>
      </c>
      <c r="H331" s="23">
        <v>270233.61749999999</v>
      </c>
      <c r="I331" s="23">
        <v>325781.63887500006</v>
      </c>
      <c r="J331" s="23">
        <v>375174.3389625001</v>
      </c>
      <c r="K331" s="23">
        <v>417105.58861125004</v>
      </c>
      <c r="L331" s="23">
        <v>462292.02737746888</v>
      </c>
      <c r="M331" s="23">
        <v>504567.41672317171</v>
      </c>
      <c r="N331" s="23">
        <v>549914.61493500113</v>
      </c>
      <c r="O331" s="23">
        <v>598535.11442620552</v>
      </c>
    </row>
    <row r="332" spans="1:15" x14ac:dyDescent="0.6">
      <c r="A332" s="167" t="s">
        <v>464</v>
      </c>
      <c r="B332" s="92"/>
      <c r="C332" s="181"/>
      <c r="D332" s="181"/>
      <c r="E332" s="226"/>
      <c r="F332" s="303">
        <f t="shared" ref="F332:N332" si="211">G332-0.01</f>
        <v>0.90999999999999992</v>
      </c>
      <c r="G332" s="303">
        <f t="shared" si="211"/>
        <v>0.91999999999999993</v>
      </c>
      <c r="H332" s="303">
        <f t="shared" si="211"/>
        <v>0.92999999999999994</v>
      </c>
      <c r="I332" s="303">
        <f t="shared" si="211"/>
        <v>0.94</v>
      </c>
      <c r="J332" s="303">
        <f t="shared" si="211"/>
        <v>0.95</v>
      </c>
      <c r="K332" s="303">
        <f t="shared" si="211"/>
        <v>0.96</v>
      </c>
      <c r="L332" s="303">
        <f t="shared" si="211"/>
        <v>0.97</v>
      </c>
      <c r="M332" s="303">
        <f t="shared" si="211"/>
        <v>0.98</v>
      </c>
      <c r="N332" s="303">
        <f t="shared" si="211"/>
        <v>0.99</v>
      </c>
      <c r="O332" s="303">
        <v>1</v>
      </c>
    </row>
    <row r="333" spans="1:15" x14ac:dyDescent="0.6">
      <c r="A333" s="167" t="s">
        <v>466</v>
      </c>
      <c r="B333" s="92"/>
      <c r="C333" s="181"/>
      <c r="D333" s="181"/>
      <c r="E333" s="226"/>
      <c r="F333" s="23">
        <f t="shared" ref="F333:O333" si="212">F331*F332*(210+120+50)/210</f>
        <v>281345.35000000003</v>
      </c>
      <c r="G333" s="23">
        <f t="shared" si="212"/>
        <v>364977.65542857145</v>
      </c>
      <c r="H333" s="23">
        <f t="shared" si="212"/>
        <v>454764.57344999997</v>
      </c>
      <c r="I333" s="23">
        <f t="shared" si="212"/>
        <v>554139.05431500007</v>
      </c>
      <c r="J333" s="23">
        <f t="shared" si="212"/>
        <v>644942.55412125005</v>
      </c>
      <c r="K333" s="23">
        <f t="shared" si="212"/>
        <v>724571.99393040012</v>
      </c>
      <c r="L333" s="23">
        <f t="shared" si="212"/>
        <v>811432.57757778582</v>
      </c>
      <c r="M333" s="23">
        <f t="shared" si="212"/>
        <v>894766.21898909111</v>
      </c>
      <c r="N333" s="23">
        <f t="shared" si="212"/>
        <v>985132.75304070197</v>
      </c>
      <c r="O333" s="23">
        <f t="shared" si="212"/>
        <v>1083063.5403902766</v>
      </c>
    </row>
    <row r="334" spans="1:15" x14ac:dyDescent="0.6">
      <c r="A334" s="167" t="s">
        <v>467</v>
      </c>
      <c r="B334" s="92"/>
      <c r="C334" s="181"/>
      <c r="D334" s="181"/>
      <c r="E334" s="226"/>
      <c r="F334" s="270">
        <f t="shared" ref="F334:O334" si="213">F328/F333</f>
        <v>0</v>
      </c>
      <c r="G334" s="270">
        <f t="shared" si="213"/>
        <v>1.6929124038414518E-2</v>
      </c>
      <c r="H334" s="270">
        <f t="shared" si="213"/>
        <v>2.5974582651387489E-2</v>
      </c>
      <c r="I334" s="270">
        <f t="shared" si="213"/>
        <v>3.0938804739530732E-2</v>
      </c>
      <c r="J334" s="270">
        <f t="shared" si="213"/>
        <v>3.4379496062577203E-2</v>
      </c>
      <c r="K334" s="270">
        <f t="shared" si="213"/>
        <v>3.7591295589898759E-2</v>
      </c>
      <c r="L334" s="270">
        <f t="shared" si="213"/>
        <v>4.0180787536687856E-2</v>
      </c>
      <c r="M334" s="270">
        <f t="shared" si="213"/>
        <v>3.8472619181904658E-2</v>
      </c>
      <c r="N334" s="270">
        <f t="shared" si="213"/>
        <v>3.6131171042822277E-2</v>
      </c>
      <c r="O334" s="270">
        <f t="shared" si="213"/>
        <v>3.3680387751632131E-2</v>
      </c>
    </row>
    <row r="335" spans="1:15" x14ac:dyDescent="0.6">
      <c r="A335" s="200"/>
      <c r="B335" s="92"/>
      <c r="C335" s="181"/>
      <c r="D335" s="181"/>
      <c r="E335" s="226"/>
      <c r="F335" s="226"/>
      <c r="G335" s="181"/>
      <c r="H335" s="181"/>
      <c r="I335" s="181"/>
      <c r="J335" s="181"/>
      <c r="K335" s="181"/>
      <c r="L335" s="181"/>
      <c r="M335" s="181"/>
      <c r="N335" s="181"/>
      <c r="O335" s="181"/>
    </row>
    <row r="336" spans="1:15" x14ac:dyDescent="0.6">
      <c r="A336" s="200" t="s">
        <v>314</v>
      </c>
      <c r="B336" s="92"/>
      <c r="C336" s="181"/>
      <c r="D336" s="181"/>
      <c r="E336" s="226"/>
      <c r="F336" s="226"/>
      <c r="G336" s="181"/>
      <c r="H336" s="181"/>
      <c r="I336" s="181"/>
      <c r="J336" s="181"/>
      <c r="K336" s="181"/>
      <c r="L336" s="181"/>
      <c r="M336" s="181"/>
      <c r="N336" s="181"/>
      <c r="O336" s="181"/>
    </row>
    <row r="337" spans="1:20" x14ac:dyDescent="0.6">
      <c r="A337" s="201" t="s">
        <v>322</v>
      </c>
      <c r="B337" s="208">
        <v>0.23933825</v>
      </c>
      <c r="C337" s="208">
        <v>0.94468974999999999</v>
      </c>
      <c r="D337" s="208">
        <v>2.9499642499999998</v>
      </c>
      <c r="E337" s="229">
        <v>6.6124072500000004</v>
      </c>
      <c r="F337" s="207">
        <v>8.1573309480735237</v>
      </c>
      <c r="G337" s="204">
        <v>9.2167916228558333</v>
      </c>
      <c r="H337" s="204">
        <v>10.344095862422646</v>
      </c>
      <c r="I337" s="204">
        <v>11.539476804375891</v>
      </c>
      <c r="J337" s="204">
        <v>12.803092300119326</v>
      </c>
      <c r="K337" s="204">
        <v>14.134791657105056</v>
      </c>
      <c r="L337" s="204">
        <v>15.534234811801259</v>
      </c>
      <c r="M337" s="204">
        <v>17.001200836333304</v>
      </c>
      <c r="N337" s="204">
        <v>18.535460350797457</v>
      </c>
      <c r="O337" s="204">
        <v>20.136697041964293</v>
      </c>
      <c r="P337" s="204"/>
      <c r="Q337" s="204"/>
      <c r="R337" s="204"/>
      <c r="S337" s="204"/>
      <c r="T337" s="204"/>
    </row>
    <row r="338" spans="1:20" x14ac:dyDescent="0.6">
      <c r="A338" s="201" t="s">
        <v>321</v>
      </c>
      <c r="B338" s="208">
        <v>0</v>
      </c>
      <c r="C338" s="208">
        <v>0</v>
      </c>
      <c r="D338" s="208">
        <v>34.038955899999998</v>
      </c>
      <c r="E338" s="304">
        <v>1170.1627680000001</v>
      </c>
      <c r="F338" s="243">
        <v>3571.9433748980655</v>
      </c>
      <c r="G338" s="244">
        <v>4583.367341053412</v>
      </c>
      <c r="H338" s="244">
        <v>5649.4984399506193</v>
      </c>
      <c r="I338" s="244">
        <v>6810.7842303849138</v>
      </c>
      <c r="J338" s="244">
        <v>7843.3870007981104</v>
      </c>
      <c r="K338" s="244">
        <v>8720.0008420637823</v>
      </c>
      <c r="L338" s="244">
        <v>9664.6675999540257</v>
      </c>
      <c r="M338" s="244">
        <v>10548.476018634034</v>
      </c>
      <c r="N338" s="244">
        <v>11496.503610182157</v>
      </c>
      <c r="O338" s="244">
        <v>12512.962770838505</v>
      </c>
      <c r="P338" s="204"/>
      <c r="Q338" s="204"/>
      <c r="R338" s="204"/>
      <c r="S338" s="204"/>
      <c r="T338" s="204"/>
    </row>
    <row r="339" spans="1:20" x14ac:dyDescent="0.6">
      <c r="A339" s="201" t="s">
        <v>319</v>
      </c>
      <c r="B339" s="208">
        <v>0</v>
      </c>
      <c r="C339" s="208">
        <v>0</v>
      </c>
      <c r="D339" s="208">
        <v>0</v>
      </c>
      <c r="E339" s="229">
        <v>0.55000000000000004</v>
      </c>
      <c r="F339" s="207">
        <f t="shared" ref="F339:O339" si="214">F341*F337</f>
        <v>1.6314661896147049</v>
      </c>
      <c r="G339" s="204">
        <f t="shared" si="214"/>
        <v>1.8433583245711667</v>
      </c>
      <c r="H339" s="204">
        <f t="shared" si="214"/>
        <v>2.0688191724845293</v>
      </c>
      <c r="I339" s="204">
        <f t="shared" si="214"/>
        <v>2.3078953608751784</v>
      </c>
      <c r="J339" s="204">
        <f t="shared" si="214"/>
        <v>2.5606184600238655</v>
      </c>
      <c r="K339" s="204">
        <f t="shared" si="214"/>
        <v>2.8269583314210114</v>
      </c>
      <c r="L339" s="204">
        <f t="shared" si="214"/>
        <v>3.1068469623602519</v>
      </c>
      <c r="M339" s="204">
        <f t="shared" si="214"/>
        <v>3.4002401672666611</v>
      </c>
      <c r="N339" s="204">
        <f t="shared" si="214"/>
        <v>3.7070920701594918</v>
      </c>
      <c r="O339" s="204">
        <f t="shared" si="214"/>
        <v>4.0273394083928586</v>
      </c>
    </row>
    <row r="340" spans="1:20" x14ac:dyDescent="0.6">
      <c r="A340" s="201" t="s">
        <v>320</v>
      </c>
      <c r="B340" s="202"/>
      <c r="C340" s="202"/>
      <c r="D340" s="203"/>
      <c r="E340" s="243">
        <f t="shared" ref="E340:O340" si="215">E338/E339</f>
        <v>2127.5686690909092</v>
      </c>
      <c r="F340" s="243">
        <f t="shared" si="215"/>
        <v>2189.4069258901609</v>
      </c>
      <c r="G340" s="243">
        <f t="shared" si="215"/>
        <v>2486.4223520512069</v>
      </c>
      <c r="H340" s="243">
        <f t="shared" si="215"/>
        <v>2730.7840700093216</v>
      </c>
      <c r="I340" s="243">
        <f t="shared" si="215"/>
        <v>2951.0801684709795</v>
      </c>
      <c r="J340" s="243">
        <f t="shared" si="215"/>
        <v>3063.0830493680846</v>
      </c>
      <c r="K340" s="243">
        <f t="shared" si="215"/>
        <v>3084.5876803852811</v>
      </c>
      <c r="L340" s="243">
        <f t="shared" si="215"/>
        <v>3110.7639729418274</v>
      </c>
      <c r="M340" s="243">
        <f t="shared" si="215"/>
        <v>3102.2738100037209</v>
      </c>
      <c r="N340" s="243">
        <f t="shared" si="215"/>
        <v>3101.2187969983538</v>
      </c>
      <c r="O340" s="243">
        <f t="shared" si="215"/>
        <v>3107.0047746067426</v>
      </c>
    </row>
    <row r="341" spans="1:20" x14ac:dyDescent="0.6">
      <c r="A341" s="201" t="s">
        <v>323</v>
      </c>
      <c r="B341" s="159">
        <f>B339/B337</f>
        <v>0</v>
      </c>
      <c r="C341" s="159">
        <f>C339/C337</f>
        <v>0</v>
      </c>
      <c r="D341" s="159">
        <f>D339/D337</f>
        <v>0</v>
      </c>
      <c r="E341" s="177">
        <f>E339/E337</f>
        <v>8.3176970081508511E-2</v>
      </c>
      <c r="F341" s="223">
        <v>0.2</v>
      </c>
      <c r="G341" s="159">
        <f t="shared" ref="G341:O341" si="216">F341</f>
        <v>0.2</v>
      </c>
      <c r="H341" s="159">
        <f t="shared" si="216"/>
        <v>0.2</v>
      </c>
      <c r="I341" s="159">
        <f t="shared" si="216"/>
        <v>0.2</v>
      </c>
      <c r="J341" s="159">
        <f t="shared" si="216"/>
        <v>0.2</v>
      </c>
      <c r="K341" s="159">
        <f t="shared" si="216"/>
        <v>0.2</v>
      </c>
      <c r="L341" s="159">
        <f t="shared" si="216"/>
        <v>0.2</v>
      </c>
      <c r="M341" s="159">
        <f t="shared" si="216"/>
        <v>0.2</v>
      </c>
      <c r="N341" s="159">
        <f t="shared" si="216"/>
        <v>0.2</v>
      </c>
      <c r="O341" s="159">
        <f t="shared" si="216"/>
        <v>0.2</v>
      </c>
    </row>
    <row r="342" spans="1:20" x14ac:dyDescent="0.6">
      <c r="A342" s="201"/>
      <c r="B342" s="92"/>
      <c r="C342" s="181"/>
      <c r="D342" s="181"/>
      <c r="E342" s="226"/>
      <c r="F342" s="226"/>
      <c r="G342" s="181"/>
      <c r="H342" s="181"/>
      <c r="I342" s="181"/>
      <c r="J342" s="181"/>
      <c r="K342" s="181"/>
      <c r="L342" s="181"/>
      <c r="M342" s="181"/>
      <c r="N342" s="181"/>
      <c r="O342" s="181"/>
    </row>
    <row r="343" spans="1:20" x14ac:dyDescent="0.6">
      <c r="A343" s="200"/>
      <c r="B343" s="92"/>
      <c r="C343" s="181"/>
      <c r="D343" s="181"/>
      <c r="E343" s="226"/>
      <c r="F343" s="226"/>
      <c r="G343" s="181"/>
      <c r="H343" s="181"/>
      <c r="I343" s="181"/>
      <c r="J343" s="181"/>
      <c r="K343" s="181"/>
      <c r="L343" s="181"/>
      <c r="M343" s="181"/>
      <c r="N343" s="181"/>
      <c r="O343" s="181"/>
    </row>
    <row r="344" spans="1:20" x14ac:dyDescent="0.6">
      <c r="A344" s="199" t="s">
        <v>317</v>
      </c>
      <c r="B344" s="92"/>
      <c r="C344" s="181"/>
      <c r="D344" s="181"/>
      <c r="E344" s="226"/>
      <c r="F344" s="226"/>
      <c r="G344" s="181"/>
      <c r="H344" s="181"/>
      <c r="I344" s="181"/>
      <c r="J344" s="181"/>
      <c r="K344" s="181"/>
      <c r="L344" s="181"/>
      <c r="M344" s="181"/>
      <c r="N344" s="181"/>
      <c r="O344" s="181"/>
    </row>
    <row r="345" spans="1:20" x14ac:dyDescent="0.6">
      <c r="A345" s="199"/>
      <c r="B345" s="92"/>
      <c r="C345" s="181"/>
      <c r="D345" s="181"/>
      <c r="E345" s="226"/>
      <c r="F345" s="226"/>
      <c r="G345" s="181"/>
      <c r="H345" s="181"/>
      <c r="I345" s="181"/>
      <c r="J345" s="181"/>
      <c r="K345" s="181"/>
      <c r="L345" s="181"/>
      <c r="M345" s="181"/>
      <c r="N345" s="181"/>
      <c r="O345" s="181"/>
    </row>
    <row r="346" spans="1:20" x14ac:dyDescent="0.6">
      <c r="A346" s="199" t="s">
        <v>132</v>
      </c>
      <c r="B346" s="92"/>
      <c r="C346" s="181"/>
      <c r="D346" s="181"/>
      <c r="E346" s="226"/>
      <c r="F346" s="226"/>
      <c r="G346" s="181"/>
      <c r="H346" s="181"/>
      <c r="I346" s="181"/>
      <c r="J346" s="181"/>
      <c r="K346" s="181"/>
      <c r="L346" s="181"/>
      <c r="M346" s="181"/>
      <c r="N346" s="181"/>
      <c r="O346" s="181"/>
    </row>
    <row r="347" spans="1:20" x14ac:dyDescent="0.6">
      <c r="A347" s="200" t="s">
        <v>319</v>
      </c>
      <c r="B347" s="285">
        <v>0</v>
      </c>
      <c r="C347" s="285">
        <v>0</v>
      </c>
      <c r="D347" s="285">
        <v>0</v>
      </c>
      <c r="E347" s="286">
        <v>0</v>
      </c>
      <c r="F347" s="207">
        <f t="shared" ref="F347:O347" si="217">F348*F8</f>
        <v>1.2330000000000001</v>
      </c>
      <c r="G347" s="204">
        <f t="shared" si="217"/>
        <v>4.2840000000000007</v>
      </c>
      <c r="H347" s="204">
        <f t="shared" si="217"/>
        <v>6.24</v>
      </c>
      <c r="I347" s="204">
        <f t="shared" si="217"/>
        <v>9.42</v>
      </c>
      <c r="J347" s="204">
        <f t="shared" si="217"/>
        <v>12.791999999999998</v>
      </c>
      <c r="K347" s="204">
        <f t="shared" si="217"/>
        <v>15.132</v>
      </c>
      <c r="L347" s="204">
        <f t="shared" si="217"/>
        <v>17.556000000000001</v>
      </c>
      <c r="M347" s="204">
        <f t="shared" si="217"/>
        <v>19.860000000000003</v>
      </c>
      <c r="N347" s="204">
        <f t="shared" si="217"/>
        <v>21.904000000000003</v>
      </c>
      <c r="O347" s="204">
        <f t="shared" si="217"/>
        <v>23.851000000000006</v>
      </c>
    </row>
    <row r="348" spans="1:20" x14ac:dyDescent="0.6">
      <c r="A348" s="200" t="s">
        <v>323</v>
      </c>
      <c r="B348" s="179"/>
      <c r="C348" s="179"/>
      <c r="D348" s="179"/>
      <c r="E348" s="225"/>
      <c r="F348" s="231">
        <v>0.03</v>
      </c>
      <c r="G348" s="180">
        <v>7.0000000000000007E-2</v>
      </c>
      <c r="H348" s="180">
        <v>0.08</v>
      </c>
      <c r="I348" s="180">
        <v>0.1</v>
      </c>
      <c r="J348" s="180">
        <v>0.12</v>
      </c>
      <c r="K348" s="242">
        <f>J348+1%</f>
        <v>0.13</v>
      </c>
      <c r="L348" s="242">
        <f>K348+1%</f>
        <v>0.14000000000000001</v>
      </c>
      <c r="M348" s="242">
        <f>L348+1%</f>
        <v>0.15000000000000002</v>
      </c>
      <c r="N348" s="242">
        <f>M348+1%</f>
        <v>0.16000000000000003</v>
      </c>
      <c r="O348" s="242">
        <f>N348+1%</f>
        <v>0.17000000000000004</v>
      </c>
    </row>
    <row r="349" spans="1:20" x14ac:dyDescent="0.6">
      <c r="B349" s="92"/>
      <c r="C349" s="181"/>
      <c r="D349" s="181"/>
      <c r="E349" s="226"/>
      <c r="F349" s="226"/>
      <c r="G349" s="181"/>
      <c r="H349" s="181"/>
      <c r="I349" s="181"/>
      <c r="J349" s="181"/>
      <c r="K349" s="181"/>
      <c r="L349" s="181"/>
      <c r="M349" s="181"/>
      <c r="N349" s="181"/>
      <c r="O349" s="181"/>
    </row>
    <row r="350" spans="1:20" x14ac:dyDescent="0.6">
      <c r="A350" s="199"/>
      <c r="B350" s="92"/>
      <c r="C350" s="181"/>
      <c r="D350" s="181"/>
      <c r="E350" s="226"/>
      <c r="F350" s="226"/>
      <c r="G350" s="181"/>
      <c r="H350" s="181"/>
      <c r="I350" s="181"/>
      <c r="J350" s="181"/>
      <c r="K350" s="181"/>
      <c r="L350" s="181"/>
      <c r="M350" s="181"/>
      <c r="N350" s="181"/>
      <c r="O350" s="181"/>
    </row>
    <row r="351" spans="1:20" x14ac:dyDescent="0.6">
      <c r="A351" s="200" t="s">
        <v>314</v>
      </c>
      <c r="B351" s="92"/>
      <c r="C351" s="181"/>
      <c r="D351" s="181"/>
      <c r="E351" s="226"/>
      <c r="F351" s="226"/>
      <c r="G351" s="181"/>
      <c r="H351" s="181"/>
      <c r="I351" s="181"/>
      <c r="J351" s="181"/>
      <c r="K351" s="181"/>
      <c r="L351" s="181"/>
      <c r="M351" s="181"/>
      <c r="N351" s="181"/>
      <c r="O351" s="181"/>
    </row>
    <row r="352" spans="1:20" x14ac:dyDescent="0.6">
      <c r="A352" s="201" t="s">
        <v>319</v>
      </c>
      <c r="B352" s="208">
        <v>0</v>
      </c>
      <c r="C352" s="208">
        <v>8.5000000000000006E-2</v>
      </c>
      <c r="D352" s="208">
        <v>0.35</v>
      </c>
      <c r="E352" s="229">
        <v>0.8899999999999999</v>
      </c>
      <c r="F352" s="207">
        <v>2.0393327370183809</v>
      </c>
      <c r="G352" s="204">
        <v>2.3963658219425166</v>
      </c>
      <c r="H352" s="204">
        <v>2.7929058828541149</v>
      </c>
      <c r="I352" s="204">
        <v>3.2310535052252498</v>
      </c>
      <c r="J352" s="204">
        <v>3.6488813055340086</v>
      </c>
      <c r="K352" s="204">
        <v>4.0990895805604666</v>
      </c>
      <c r="L352" s="204">
        <v>4.5825992694813715</v>
      </c>
      <c r="M352" s="204">
        <v>5.1003602508999917</v>
      </c>
      <c r="N352" s="204">
        <v>5.653315406993225</v>
      </c>
      <c r="O352" s="204">
        <v>6.2423760830089323</v>
      </c>
    </row>
    <row r="353" spans="1:15" x14ac:dyDescent="0.6">
      <c r="A353" s="201" t="s">
        <v>323</v>
      </c>
      <c r="B353" s="159">
        <f t="shared" ref="B353:O353" si="218">B352/B337</f>
        <v>0</v>
      </c>
      <c r="C353" s="159">
        <f t="shared" si="218"/>
        <v>8.9976629893570886E-2</v>
      </c>
      <c r="D353" s="159">
        <f t="shared" si="218"/>
        <v>0.11864550561926301</v>
      </c>
      <c r="E353" s="177">
        <f t="shared" si="218"/>
        <v>0.13459546067735012</v>
      </c>
      <c r="F353" s="223">
        <f t="shared" si="218"/>
        <v>0.25</v>
      </c>
      <c r="G353" s="159">
        <f t="shared" si="218"/>
        <v>0.26</v>
      </c>
      <c r="H353" s="159">
        <f t="shared" si="218"/>
        <v>0.27</v>
      </c>
      <c r="I353" s="159">
        <f t="shared" si="218"/>
        <v>0.28000000000000003</v>
      </c>
      <c r="J353" s="159">
        <f t="shared" si="218"/>
        <v>0.28500000000000003</v>
      </c>
      <c r="K353" s="159">
        <f t="shared" si="218"/>
        <v>0.29000000000000004</v>
      </c>
      <c r="L353" s="159">
        <f t="shared" si="218"/>
        <v>0.29500000000000004</v>
      </c>
      <c r="M353" s="159">
        <f t="shared" si="218"/>
        <v>0.30000000000000004</v>
      </c>
      <c r="N353" s="159">
        <f t="shared" si="218"/>
        <v>0.30500000000000005</v>
      </c>
      <c r="O353" s="159">
        <f t="shared" si="218"/>
        <v>0.31000000000000005</v>
      </c>
    </row>
    <row r="354" spans="1:15" x14ac:dyDescent="0.6">
      <c r="A354" s="37" t="s">
        <v>328</v>
      </c>
      <c r="B354" s="92"/>
      <c r="C354" s="181"/>
      <c r="D354" s="181"/>
      <c r="E354" s="212">
        <v>262.2076923076923</v>
      </c>
      <c r="F354" s="209">
        <v>300</v>
      </c>
      <c r="G354" s="210">
        <f t="shared" ref="G354:O354" si="219">F354</f>
        <v>300</v>
      </c>
      <c r="H354" s="210">
        <f t="shared" si="219"/>
        <v>300</v>
      </c>
      <c r="I354" s="210">
        <f t="shared" si="219"/>
        <v>300</v>
      </c>
      <c r="J354" s="210">
        <f t="shared" si="219"/>
        <v>300</v>
      </c>
      <c r="K354" s="210">
        <f t="shared" si="219"/>
        <v>300</v>
      </c>
      <c r="L354" s="210">
        <f t="shared" si="219"/>
        <v>300</v>
      </c>
      <c r="M354" s="210">
        <f t="shared" si="219"/>
        <v>300</v>
      </c>
      <c r="N354" s="210">
        <f t="shared" si="219"/>
        <v>300</v>
      </c>
      <c r="O354" s="210">
        <f t="shared" si="219"/>
        <v>300</v>
      </c>
    </row>
    <row r="355" spans="1:15" x14ac:dyDescent="0.6">
      <c r="A355" s="37" t="s">
        <v>329</v>
      </c>
      <c r="B355" s="92"/>
      <c r="C355" s="181"/>
      <c r="D355" s="181"/>
      <c r="E355" s="246">
        <f>E354/E4</f>
        <v>50.86275843957408</v>
      </c>
      <c r="F355" s="247">
        <f>F354/F4</f>
        <v>55.60085995996738</v>
      </c>
      <c r="G355" s="248">
        <f t="shared" ref="G355:O355" si="220">F355</f>
        <v>55.60085995996738</v>
      </c>
      <c r="H355" s="248">
        <f t="shared" si="220"/>
        <v>55.60085995996738</v>
      </c>
      <c r="I355" s="248">
        <f t="shared" si="220"/>
        <v>55.60085995996738</v>
      </c>
      <c r="J355" s="248">
        <f t="shared" si="220"/>
        <v>55.60085995996738</v>
      </c>
      <c r="K355" s="248">
        <f t="shared" si="220"/>
        <v>55.60085995996738</v>
      </c>
      <c r="L355" s="248">
        <f t="shared" si="220"/>
        <v>55.60085995996738</v>
      </c>
      <c r="M355" s="248">
        <f t="shared" si="220"/>
        <v>55.60085995996738</v>
      </c>
      <c r="N355" s="248">
        <f t="shared" si="220"/>
        <v>55.60085995996738</v>
      </c>
      <c r="O355" s="248">
        <f t="shared" si="220"/>
        <v>55.60085995996738</v>
      </c>
    </row>
    <row r="356" spans="1:15" x14ac:dyDescent="0.6">
      <c r="A356" s="167"/>
      <c r="B356" s="92"/>
      <c r="C356" s="181"/>
      <c r="D356" s="181"/>
      <c r="E356" s="226"/>
      <c r="F356" s="226"/>
      <c r="G356" s="181"/>
      <c r="H356" s="181"/>
      <c r="I356" s="181"/>
      <c r="J356" s="181"/>
      <c r="K356" s="181"/>
      <c r="L356" s="181"/>
      <c r="M356" s="181"/>
      <c r="N356" s="181"/>
      <c r="O356" s="181"/>
    </row>
    <row r="357" spans="1:15" x14ac:dyDescent="0.6">
      <c r="A357" s="199" t="s">
        <v>318</v>
      </c>
      <c r="B357" s="92"/>
      <c r="C357" s="181"/>
      <c r="D357" s="181"/>
      <c r="E357" s="226"/>
      <c r="F357" s="226"/>
      <c r="G357" s="181"/>
      <c r="H357" s="181"/>
      <c r="I357" s="181"/>
      <c r="J357" s="181"/>
      <c r="K357" s="181"/>
      <c r="L357" s="181"/>
      <c r="M357" s="181"/>
      <c r="N357" s="181"/>
      <c r="O357" s="181"/>
    </row>
    <row r="358" spans="1:15" x14ac:dyDescent="0.6">
      <c r="A358" s="167"/>
      <c r="B358" s="92"/>
      <c r="C358" s="181"/>
      <c r="D358" s="181"/>
      <c r="E358" s="226"/>
      <c r="F358" s="226"/>
      <c r="G358" s="181"/>
      <c r="H358" s="181"/>
      <c r="I358" s="181"/>
      <c r="J358" s="181"/>
      <c r="K358" s="181"/>
      <c r="L358" s="181"/>
      <c r="M358" s="181"/>
      <c r="N358" s="181"/>
      <c r="O358" s="181"/>
    </row>
    <row r="359" spans="1:15" x14ac:dyDescent="0.6">
      <c r="A359" s="199" t="s">
        <v>132</v>
      </c>
      <c r="B359" s="92"/>
      <c r="C359" s="181"/>
      <c r="D359" s="181"/>
      <c r="E359" s="226"/>
      <c r="F359" s="226"/>
      <c r="G359" s="181"/>
      <c r="H359" s="181"/>
      <c r="I359" s="181"/>
      <c r="J359" s="181"/>
      <c r="K359" s="181"/>
      <c r="L359" s="181"/>
      <c r="M359" s="181"/>
      <c r="N359" s="181"/>
      <c r="O359" s="181"/>
    </row>
    <row r="360" spans="1:15" x14ac:dyDescent="0.6">
      <c r="A360" s="200" t="s">
        <v>319</v>
      </c>
      <c r="B360" s="285">
        <v>0</v>
      </c>
      <c r="C360" s="285">
        <v>0</v>
      </c>
      <c r="D360" s="285">
        <v>0</v>
      </c>
      <c r="E360" s="286">
        <v>0</v>
      </c>
      <c r="F360" s="207">
        <f t="shared" ref="F360:O360" si="221">F361*F8</f>
        <v>3.2880000000000003</v>
      </c>
      <c r="G360" s="204">
        <f t="shared" si="221"/>
        <v>7.3440000000000003</v>
      </c>
      <c r="H360" s="204">
        <f t="shared" si="221"/>
        <v>11.7</v>
      </c>
      <c r="I360" s="204">
        <f t="shared" si="221"/>
        <v>15.072000000000001</v>
      </c>
      <c r="J360" s="204">
        <f t="shared" si="221"/>
        <v>18.122</v>
      </c>
      <c r="K360" s="204">
        <f t="shared" si="221"/>
        <v>20.952000000000002</v>
      </c>
      <c r="L360" s="204">
        <f t="shared" si="221"/>
        <v>23.826000000000001</v>
      </c>
      <c r="M360" s="204">
        <f t="shared" si="221"/>
        <v>26.480000000000008</v>
      </c>
      <c r="N360" s="204">
        <f t="shared" si="221"/>
        <v>28.749000000000009</v>
      </c>
      <c r="O360" s="204">
        <f t="shared" si="221"/>
        <v>30.86600000000001</v>
      </c>
    </row>
    <row r="361" spans="1:15" x14ac:dyDescent="0.6">
      <c r="A361" s="200" t="s">
        <v>323</v>
      </c>
      <c r="B361" s="179"/>
      <c r="C361" s="179"/>
      <c r="D361" s="179"/>
      <c r="E361" s="225"/>
      <c r="F361" s="223">
        <v>0.08</v>
      </c>
      <c r="G361" s="218">
        <v>0.12</v>
      </c>
      <c r="H361" s="159">
        <v>0.15</v>
      </c>
      <c r="I361" s="159">
        <f t="shared" ref="I361:O361" si="222">H361+1%</f>
        <v>0.16</v>
      </c>
      <c r="J361" s="159">
        <f t="shared" si="222"/>
        <v>0.17</v>
      </c>
      <c r="K361" s="159">
        <f t="shared" si="222"/>
        <v>0.18000000000000002</v>
      </c>
      <c r="L361" s="159">
        <f t="shared" si="222"/>
        <v>0.19000000000000003</v>
      </c>
      <c r="M361" s="159">
        <f t="shared" si="222"/>
        <v>0.20000000000000004</v>
      </c>
      <c r="N361" s="159">
        <f t="shared" si="222"/>
        <v>0.21000000000000005</v>
      </c>
      <c r="O361" s="159">
        <f t="shared" si="222"/>
        <v>0.22000000000000006</v>
      </c>
    </row>
    <row r="362" spans="1:15" x14ac:dyDescent="0.6">
      <c r="B362" s="92"/>
      <c r="C362" s="181"/>
      <c r="D362" s="181"/>
      <c r="E362" s="226"/>
      <c r="F362" s="226"/>
      <c r="G362" s="181"/>
      <c r="H362" s="181"/>
      <c r="I362" s="181"/>
      <c r="J362" s="181"/>
      <c r="K362" s="181"/>
      <c r="L362" s="181"/>
      <c r="M362" s="181"/>
      <c r="N362" s="181"/>
      <c r="O362" s="181"/>
    </row>
    <row r="363" spans="1:15" x14ac:dyDescent="0.6">
      <c r="A363" s="199"/>
      <c r="B363" s="92"/>
      <c r="C363" s="181"/>
      <c r="D363" s="181"/>
      <c r="E363" s="226"/>
      <c r="F363" s="226"/>
      <c r="G363" s="181"/>
      <c r="H363" s="181"/>
      <c r="I363" s="181"/>
      <c r="J363" s="181"/>
      <c r="K363" s="181"/>
      <c r="L363" s="181"/>
      <c r="M363" s="181"/>
      <c r="N363" s="181"/>
      <c r="O363" s="181"/>
    </row>
    <row r="364" spans="1:15" x14ac:dyDescent="0.6">
      <c r="A364" s="200" t="s">
        <v>314</v>
      </c>
      <c r="B364" s="92"/>
      <c r="C364" s="181"/>
      <c r="D364" s="181"/>
      <c r="E364" s="226"/>
      <c r="F364" s="226"/>
      <c r="G364" s="181"/>
      <c r="H364" s="181"/>
      <c r="I364" s="181"/>
      <c r="J364" s="181"/>
      <c r="K364" s="181"/>
      <c r="L364" s="181"/>
      <c r="M364" s="181"/>
      <c r="N364" s="181"/>
      <c r="O364" s="181"/>
    </row>
    <row r="365" spans="1:15" x14ac:dyDescent="0.6">
      <c r="A365" s="201" t="s">
        <v>319</v>
      </c>
      <c r="B365" s="287">
        <v>0</v>
      </c>
      <c r="C365" s="287">
        <v>8.5000000000000006E-2</v>
      </c>
      <c r="D365" s="287">
        <v>0.35</v>
      </c>
      <c r="E365" s="288">
        <v>0.8899999999999999</v>
      </c>
      <c r="F365" s="207">
        <v>2.0393327370183809</v>
      </c>
      <c r="G365" s="204">
        <v>2.3963658219425166</v>
      </c>
      <c r="H365" s="204">
        <v>2.7929058828541149</v>
      </c>
      <c r="I365" s="204">
        <v>3.2310535052252498</v>
      </c>
      <c r="J365" s="204">
        <v>3.6488813055340086</v>
      </c>
      <c r="K365" s="204">
        <v>4.0990895805604666</v>
      </c>
      <c r="L365" s="204">
        <v>4.5825992694813715</v>
      </c>
      <c r="M365" s="204">
        <v>5.1003602508999917</v>
      </c>
      <c r="N365" s="204">
        <v>5.653315406993225</v>
      </c>
      <c r="O365" s="204">
        <v>6.2423760830089323</v>
      </c>
    </row>
    <row r="366" spans="1:15" x14ac:dyDescent="0.6">
      <c r="A366" s="201" t="s">
        <v>323</v>
      </c>
      <c r="B366" s="179">
        <f>B365/B337</f>
        <v>0</v>
      </c>
      <c r="C366" s="179">
        <f>C365/C337</f>
        <v>8.9976629893570886E-2</v>
      </c>
      <c r="D366" s="179">
        <f>D365/D337</f>
        <v>0.11864550561926301</v>
      </c>
      <c r="E366" s="225">
        <f>E365/E337</f>
        <v>0.13459546067735012</v>
      </c>
      <c r="F366" s="230">
        <v>0.25</v>
      </c>
      <c r="G366" s="117">
        <f>F366+1%</f>
        <v>0.26</v>
      </c>
      <c r="H366" s="117">
        <f>G366+1%</f>
        <v>0.27</v>
      </c>
      <c r="I366" s="117">
        <f>H366+1%</f>
        <v>0.28000000000000003</v>
      </c>
      <c r="J366" s="117">
        <f t="shared" ref="J366:O366" si="223">I366+0.5%</f>
        <v>0.28500000000000003</v>
      </c>
      <c r="K366" s="117">
        <f t="shared" si="223"/>
        <v>0.29000000000000004</v>
      </c>
      <c r="L366" s="117">
        <f t="shared" si="223"/>
        <v>0.29500000000000004</v>
      </c>
      <c r="M366" s="117">
        <f t="shared" si="223"/>
        <v>0.30000000000000004</v>
      </c>
      <c r="N366" s="117">
        <f t="shared" si="223"/>
        <v>0.30500000000000005</v>
      </c>
      <c r="O366" s="117">
        <f t="shared" si="223"/>
        <v>0.31000000000000005</v>
      </c>
    </row>
    <row r="367" spans="1:15" x14ac:dyDescent="0.6">
      <c r="A367" s="206" t="s">
        <v>328</v>
      </c>
      <c r="B367" s="211"/>
      <c r="C367" s="211">
        <v>0</v>
      </c>
      <c r="D367" s="212">
        <v>47.431428571428569</v>
      </c>
      <c r="E367" s="212">
        <v>21.760674157303374</v>
      </c>
      <c r="F367" s="213">
        <v>30</v>
      </c>
      <c r="G367" s="307">
        <f>F367-5</f>
        <v>25</v>
      </c>
      <c r="H367" s="307">
        <f>G367-5</f>
        <v>20</v>
      </c>
      <c r="I367" s="307">
        <f>H367+1</f>
        <v>21</v>
      </c>
      <c r="J367" s="307">
        <f t="shared" ref="J367:O367" si="224">I367+1</f>
        <v>22</v>
      </c>
      <c r="K367" s="307">
        <f t="shared" si="224"/>
        <v>23</v>
      </c>
      <c r="L367" s="307">
        <f t="shared" si="224"/>
        <v>24</v>
      </c>
      <c r="M367" s="307">
        <f t="shared" si="224"/>
        <v>25</v>
      </c>
      <c r="N367" s="307">
        <f t="shared" si="224"/>
        <v>26</v>
      </c>
      <c r="O367" s="307">
        <f t="shared" si="224"/>
        <v>27</v>
      </c>
    </row>
    <row r="368" spans="1:15" x14ac:dyDescent="0.6">
      <c r="A368" s="37" t="s">
        <v>329</v>
      </c>
      <c r="B368" s="92"/>
      <c r="C368" s="181"/>
      <c r="D368" s="181"/>
      <c r="E368" s="249">
        <f t="shared" ref="E368:O368" si="225">E367/E4</f>
        <v>4.2211115295824362</v>
      </c>
      <c r="F368" s="250">
        <f t="shared" si="225"/>
        <v>5.5600859959967384</v>
      </c>
      <c r="G368" s="251">
        <f t="shared" si="225"/>
        <v>4.8449612403100772</v>
      </c>
      <c r="H368" s="251">
        <f t="shared" si="225"/>
        <v>4.0080160320641278</v>
      </c>
      <c r="I368" s="251">
        <f t="shared" si="225"/>
        <v>3.8888888888888888</v>
      </c>
      <c r="J368" s="251">
        <f t="shared" si="225"/>
        <v>3.956834532374101</v>
      </c>
      <c r="K368" s="251">
        <f t="shared" si="225"/>
        <v>4.1366906474820144</v>
      </c>
      <c r="L368" s="251">
        <f t="shared" si="225"/>
        <v>4.3165467625899288</v>
      </c>
      <c r="M368" s="251">
        <f t="shared" si="225"/>
        <v>4.4964028776978422</v>
      </c>
      <c r="N368" s="251">
        <f t="shared" si="225"/>
        <v>4.6762589928057556</v>
      </c>
      <c r="O368" s="251">
        <f t="shared" si="225"/>
        <v>4.8561151079136691</v>
      </c>
    </row>
    <row r="369" spans="1:15" x14ac:dyDescent="0.6">
      <c r="A369" s="167"/>
      <c r="B369" s="92"/>
      <c r="C369" s="181"/>
      <c r="D369" s="181"/>
      <c r="E369" s="226"/>
      <c r="F369" s="226"/>
      <c r="G369" s="181"/>
      <c r="H369" s="181"/>
      <c r="I369" s="181"/>
      <c r="J369" s="181"/>
      <c r="K369" s="181"/>
      <c r="L369" s="181"/>
      <c r="M369" s="181"/>
      <c r="N369" s="181"/>
      <c r="O369" s="181"/>
    </row>
    <row r="370" spans="1:15" x14ac:dyDescent="0.6">
      <c r="A370" s="167"/>
      <c r="B370" s="92"/>
      <c r="C370" s="181"/>
      <c r="D370" s="181"/>
      <c r="E370" s="226"/>
      <c r="F370" s="226"/>
      <c r="G370" s="181"/>
      <c r="H370" s="181"/>
      <c r="I370" s="181"/>
      <c r="J370" s="181"/>
      <c r="K370" s="181"/>
      <c r="L370" s="181"/>
      <c r="M370" s="181"/>
      <c r="N370" s="181"/>
      <c r="O370" s="181"/>
    </row>
    <row r="371" spans="1:15" x14ac:dyDescent="0.6">
      <c r="A371" s="167"/>
      <c r="B371" s="92"/>
      <c r="C371" s="181"/>
      <c r="D371" s="181"/>
      <c r="E371" s="226"/>
      <c r="F371" s="226"/>
      <c r="G371" s="181"/>
      <c r="H371" s="181"/>
      <c r="I371" s="181"/>
      <c r="J371" s="181"/>
      <c r="K371" s="181"/>
      <c r="L371" s="181"/>
      <c r="M371" s="181"/>
      <c r="N371" s="181"/>
      <c r="O371" s="181"/>
    </row>
    <row r="372" spans="1:15" x14ac:dyDescent="0.6">
      <c r="A372" s="167"/>
      <c r="B372" s="92"/>
      <c r="C372" s="181"/>
      <c r="D372" s="181"/>
      <c r="E372" s="226"/>
      <c r="F372" s="226"/>
      <c r="G372" s="181"/>
      <c r="H372" s="181"/>
      <c r="I372" s="181"/>
      <c r="J372" s="181"/>
      <c r="K372" s="181"/>
      <c r="L372" s="181"/>
      <c r="M372" s="181"/>
      <c r="N372" s="181"/>
      <c r="O372" s="181"/>
    </row>
    <row r="373" spans="1:15" x14ac:dyDescent="0.6">
      <c r="A373" s="167"/>
      <c r="B373" s="92"/>
      <c r="C373" s="181"/>
      <c r="D373" s="181"/>
      <c r="E373" s="226"/>
      <c r="F373" s="226"/>
      <c r="G373" s="181"/>
      <c r="H373" s="181"/>
      <c r="I373" s="181"/>
      <c r="J373" s="181"/>
      <c r="K373" s="181"/>
      <c r="L373" s="181"/>
      <c r="M373" s="181"/>
      <c r="N373" s="181"/>
      <c r="O373" s="181"/>
    </row>
    <row r="374" spans="1:15" x14ac:dyDescent="0.6">
      <c r="A374" s="167"/>
      <c r="B374" s="92"/>
      <c r="C374" s="181"/>
      <c r="D374" s="181"/>
      <c r="E374" s="226"/>
      <c r="F374" s="226"/>
      <c r="G374" s="181"/>
      <c r="H374" s="181"/>
      <c r="I374" s="181"/>
      <c r="J374" s="181"/>
      <c r="K374" s="181"/>
      <c r="L374" s="181"/>
      <c r="M374" s="181"/>
      <c r="N374" s="181"/>
      <c r="O374" s="181"/>
    </row>
    <row r="375" spans="1:15" x14ac:dyDescent="0.6">
      <c r="A375" s="167"/>
      <c r="B375" s="92"/>
      <c r="C375" s="181"/>
      <c r="D375" s="181"/>
      <c r="E375" s="226"/>
      <c r="F375" s="226"/>
      <c r="G375" s="181"/>
      <c r="H375" s="181"/>
      <c r="I375" s="181"/>
      <c r="J375" s="181"/>
      <c r="K375" s="181"/>
      <c r="L375" s="181"/>
      <c r="M375" s="181"/>
      <c r="N375" s="181"/>
      <c r="O375" s="181"/>
    </row>
    <row r="376" spans="1:15" x14ac:dyDescent="0.6">
      <c r="A376" s="167"/>
      <c r="B376" s="92"/>
      <c r="C376" s="181"/>
      <c r="D376" s="181"/>
      <c r="E376" s="226"/>
      <c r="F376" s="226"/>
      <c r="G376" s="181"/>
      <c r="H376" s="181"/>
      <c r="I376" s="181"/>
      <c r="J376" s="181"/>
      <c r="K376" s="181"/>
      <c r="L376" s="181"/>
      <c r="M376" s="181"/>
      <c r="N376" s="181"/>
      <c r="O376" s="181"/>
    </row>
    <row r="377" spans="1:15" x14ac:dyDescent="0.6">
      <c r="A377" s="167"/>
      <c r="B377" s="92"/>
      <c r="C377" s="181"/>
      <c r="D377" s="181"/>
      <c r="E377" s="226"/>
      <c r="F377" s="226"/>
      <c r="G377" s="181"/>
      <c r="H377" s="181"/>
      <c r="I377" s="181"/>
      <c r="J377" s="181"/>
      <c r="K377" s="181"/>
      <c r="L377" s="181"/>
      <c r="M377" s="181"/>
      <c r="N377" s="181"/>
      <c r="O377" s="181"/>
    </row>
    <row r="378" spans="1:15" x14ac:dyDescent="0.6">
      <c r="A378" s="167"/>
      <c r="B378" s="92"/>
      <c r="C378" s="181"/>
      <c r="D378" s="181"/>
      <c r="E378" s="226"/>
      <c r="F378" s="226"/>
      <c r="G378" s="181"/>
      <c r="H378" s="181"/>
      <c r="I378" s="181"/>
      <c r="J378" s="181"/>
      <c r="K378" s="181"/>
      <c r="L378" s="181"/>
      <c r="M378" s="181"/>
      <c r="N378" s="181"/>
      <c r="O378" s="181"/>
    </row>
    <row r="379" spans="1:15" ht="15.9" thickBot="1" x14ac:dyDescent="0.65">
      <c r="A379" s="87" t="s">
        <v>174</v>
      </c>
      <c r="B379" s="87"/>
      <c r="C379" s="109"/>
      <c r="D379" s="109"/>
      <c r="E379" s="126"/>
      <c r="F379" s="126"/>
      <c r="G379" s="109"/>
      <c r="H379" s="109"/>
      <c r="I379" s="109"/>
      <c r="J379" s="109"/>
      <c r="K379" s="109"/>
      <c r="L379" s="109"/>
      <c r="M379" s="109"/>
      <c r="N379" s="109"/>
      <c r="O379" s="109"/>
    </row>
    <row r="380" spans="1:15" x14ac:dyDescent="0.6">
      <c r="A380" s="20"/>
      <c r="B380" s="20"/>
      <c r="C380" s="126"/>
      <c r="D380" s="126"/>
      <c r="E380" s="126"/>
      <c r="F380" s="126"/>
      <c r="G380" s="126"/>
      <c r="H380" s="126"/>
      <c r="I380" s="126"/>
      <c r="J380" s="126"/>
      <c r="K380" s="126"/>
      <c r="L380" s="126"/>
      <c r="M380" s="126"/>
      <c r="N380" s="126"/>
      <c r="O380" s="126"/>
    </row>
    <row r="381" spans="1:15" x14ac:dyDescent="0.6">
      <c r="A381" s="118" t="s">
        <v>106</v>
      </c>
      <c r="B381" s="118"/>
      <c r="C381" s="126">
        <f>SUM(C382:C384)</f>
        <v>1769.8500000000001</v>
      </c>
      <c r="D381" s="126">
        <f>SUM(D382:D384)</f>
        <v>3010.4209999999998</v>
      </c>
      <c r="E381" s="126">
        <f>SUM(E382:E384)</f>
        <v>3118.8719999999998</v>
      </c>
      <c r="F381" s="126">
        <f>SUM(F382:F384)</f>
        <v>4367.8739999999998</v>
      </c>
      <c r="G381" s="126"/>
      <c r="H381" s="126"/>
      <c r="I381" s="126"/>
      <c r="J381" s="126"/>
      <c r="K381" s="126"/>
      <c r="L381" s="126"/>
      <c r="M381" s="126"/>
      <c r="N381" s="126"/>
      <c r="O381" s="126"/>
    </row>
    <row r="382" spans="1:15" x14ac:dyDescent="0.6">
      <c r="A382" s="136" t="s">
        <v>244</v>
      </c>
      <c r="B382" s="136"/>
      <c r="C382" s="152">
        <v>835.01</v>
      </c>
      <c r="D382" s="152">
        <v>1424.758</v>
      </c>
      <c r="E382" s="152">
        <v>1475.4169999999999</v>
      </c>
      <c r="F382" s="152">
        <v>2052.4369999999999</v>
      </c>
      <c r="G382" s="126"/>
      <c r="H382" s="126"/>
      <c r="I382" s="126"/>
      <c r="J382" s="126"/>
      <c r="K382" s="126"/>
      <c r="L382" s="126"/>
      <c r="M382" s="126"/>
      <c r="N382" s="126"/>
      <c r="O382" s="126"/>
    </row>
    <row r="383" spans="1:15" x14ac:dyDescent="0.6">
      <c r="A383" s="136" t="s">
        <v>245</v>
      </c>
      <c r="B383" s="136"/>
      <c r="C383" s="152">
        <v>766.44</v>
      </c>
      <c r="D383" s="152">
        <v>1316.2349999999999</v>
      </c>
      <c r="E383" s="152">
        <v>1443.7929999999999</v>
      </c>
      <c r="F383" s="152">
        <v>2045.231</v>
      </c>
      <c r="G383" s="126"/>
      <c r="H383" s="126"/>
      <c r="I383" s="126"/>
      <c r="J383" s="126"/>
      <c r="K383" s="126"/>
      <c r="L383" s="126"/>
      <c r="M383" s="126"/>
      <c r="N383" s="126"/>
      <c r="O383" s="126"/>
    </row>
    <row r="384" spans="1:15" x14ac:dyDescent="0.6">
      <c r="A384" s="136" t="s">
        <v>246</v>
      </c>
      <c r="B384" s="136"/>
      <c r="C384" s="152">
        <v>168.4</v>
      </c>
      <c r="D384" s="152">
        <v>269.428</v>
      </c>
      <c r="E384" s="152">
        <v>199.66200000000001</v>
      </c>
      <c r="F384" s="152">
        <v>270.20600000000002</v>
      </c>
      <c r="G384" s="126"/>
      <c r="H384" s="126"/>
      <c r="I384" s="126"/>
      <c r="J384" s="126"/>
      <c r="K384" s="126"/>
      <c r="L384" s="126"/>
      <c r="M384" s="126"/>
      <c r="N384" s="126"/>
      <c r="O384" s="126"/>
    </row>
    <row r="385" spans="1:24" x14ac:dyDescent="0.6">
      <c r="A385" s="40"/>
      <c r="B385" s="40"/>
      <c r="C385" s="126"/>
      <c r="D385" s="126"/>
      <c r="E385" s="126"/>
      <c r="F385" s="126"/>
      <c r="G385" s="126"/>
      <c r="H385" s="126"/>
      <c r="I385" s="126"/>
      <c r="J385" s="126"/>
      <c r="K385" s="126"/>
      <c r="L385" s="126"/>
      <c r="M385" s="126"/>
      <c r="N385" s="126"/>
      <c r="O385" s="126"/>
    </row>
    <row r="386" spans="1:24" x14ac:dyDescent="0.6">
      <c r="A386" s="106" t="s">
        <v>158</v>
      </c>
      <c r="B386" s="106"/>
      <c r="C386" s="151">
        <v>128.5</v>
      </c>
      <c r="D386" s="151">
        <v>214.6</v>
      </c>
      <c r="E386" s="151">
        <v>217.5</v>
      </c>
      <c r="F386" s="126"/>
      <c r="G386" s="126"/>
      <c r="H386" s="126"/>
      <c r="I386" s="126"/>
      <c r="J386" s="126"/>
      <c r="K386" s="126"/>
      <c r="L386" s="126"/>
      <c r="M386" s="126"/>
      <c r="N386" s="126"/>
      <c r="O386" s="126"/>
    </row>
    <row r="387" spans="1:24" x14ac:dyDescent="0.6">
      <c r="A387" s="106" t="s">
        <v>252</v>
      </c>
      <c r="B387" s="106"/>
      <c r="C387" s="126"/>
      <c r="D387" s="126"/>
      <c r="E387" s="151">
        <v>10900</v>
      </c>
      <c r="F387" s="126"/>
      <c r="G387" s="126"/>
      <c r="H387" s="126"/>
      <c r="I387" s="126"/>
      <c r="J387" s="126"/>
      <c r="K387" s="126"/>
      <c r="L387" s="126"/>
      <c r="M387" s="126"/>
      <c r="N387" s="126"/>
      <c r="O387" s="126"/>
    </row>
    <row r="388" spans="1:24" x14ac:dyDescent="0.6">
      <c r="A388" s="106" t="s">
        <v>253</v>
      </c>
      <c r="B388" s="106"/>
      <c r="C388" s="126"/>
      <c r="D388" s="126"/>
      <c r="E388" s="221">
        <f>E386/E387</f>
        <v>1.9954128440366974E-2</v>
      </c>
      <c r="F388" s="126"/>
      <c r="G388" s="126"/>
      <c r="H388" s="126"/>
      <c r="I388" s="126"/>
      <c r="J388" s="126"/>
      <c r="K388" s="126"/>
      <c r="L388" s="126"/>
      <c r="M388" s="126"/>
      <c r="N388" s="126"/>
      <c r="O388" s="126"/>
    </row>
    <row r="389" spans="1:24" x14ac:dyDescent="0.6">
      <c r="A389" s="32"/>
      <c r="B389" s="32"/>
      <c r="C389" s="126"/>
      <c r="D389" s="126"/>
      <c r="E389" s="30"/>
      <c r="F389" s="126"/>
      <c r="G389" s="126"/>
      <c r="H389" s="126"/>
      <c r="I389" s="126"/>
      <c r="J389" s="126"/>
      <c r="K389" s="126"/>
      <c r="L389" s="126"/>
      <c r="M389" s="126"/>
      <c r="N389" s="126"/>
      <c r="O389" s="126"/>
    </row>
    <row r="390" spans="1:24" s="101" customFormat="1" ht="15.9" thickBot="1" x14ac:dyDescent="0.65">
      <c r="A390" s="87" t="s">
        <v>285</v>
      </c>
      <c r="B390" s="146"/>
      <c r="C390" s="147"/>
      <c r="D390" s="147"/>
      <c r="E390" s="147"/>
      <c r="F390" s="148"/>
      <c r="G390" s="148"/>
      <c r="H390" s="148"/>
      <c r="I390" s="148"/>
      <c r="J390" s="148"/>
      <c r="K390" s="148"/>
      <c r="L390" s="148"/>
      <c r="M390" s="148"/>
      <c r="N390" s="148"/>
      <c r="O390" s="148"/>
    </row>
    <row r="391" spans="1:24" x14ac:dyDescent="0.6">
      <c r="A391" s="115"/>
      <c r="B391" s="115"/>
      <c r="C391" s="44"/>
      <c r="D391" s="30"/>
      <c r="E391" s="30"/>
      <c r="F391" s="107"/>
      <c r="G391" s="107"/>
      <c r="H391" s="107"/>
      <c r="I391" s="107"/>
      <c r="J391" s="107"/>
      <c r="K391" s="107"/>
      <c r="L391" s="107"/>
      <c r="M391" s="107"/>
      <c r="N391" s="107"/>
      <c r="O391" s="107"/>
    </row>
    <row r="392" spans="1:24" x14ac:dyDescent="0.6">
      <c r="A392" t="s">
        <v>231</v>
      </c>
      <c r="C392" s="44"/>
      <c r="D392" s="30"/>
      <c r="E392" s="30"/>
      <c r="F392" s="107"/>
      <c r="G392" s="107"/>
      <c r="H392" s="107"/>
      <c r="I392" s="107"/>
      <c r="J392" s="107"/>
      <c r="K392" s="107"/>
      <c r="L392" s="107"/>
      <c r="M392" s="107"/>
      <c r="N392" s="107"/>
      <c r="O392" s="107"/>
    </row>
    <row r="393" spans="1:24" x14ac:dyDescent="0.6">
      <c r="A393" s="115" t="s">
        <v>179</v>
      </c>
      <c r="B393" s="115"/>
      <c r="C393" s="44"/>
      <c r="D393" s="156">
        <f>D37/D$35</f>
        <v>2.0390226753383724E-2</v>
      </c>
      <c r="E393" s="156">
        <f>E37/E$35</f>
        <v>6.5030829845712484E-2</v>
      </c>
      <c r="F393" s="156">
        <f>F37/F$35</f>
        <v>0.19995782645586591</v>
      </c>
      <c r="G393" s="107"/>
      <c r="H393" s="107"/>
      <c r="I393" s="107"/>
      <c r="J393" s="107"/>
      <c r="K393" s="107"/>
      <c r="L393" s="107"/>
      <c r="M393" s="107"/>
      <c r="N393" s="107"/>
      <c r="O393" s="107"/>
    </row>
    <row r="394" spans="1:24" x14ac:dyDescent="0.6">
      <c r="A394" s="115" t="s">
        <v>180</v>
      </c>
      <c r="B394" s="115"/>
      <c r="C394" s="44"/>
      <c r="D394" s="156">
        <f>D39/D$35</f>
        <v>0.97960977324661624</v>
      </c>
      <c r="E394" s="156">
        <f>E39/E$35</f>
        <v>0.93496917015428749</v>
      </c>
      <c r="F394" s="156">
        <f>F39/F$35</f>
        <v>0.80004217354413421</v>
      </c>
      <c r="G394" s="107"/>
      <c r="H394" s="107"/>
      <c r="I394" s="107"/>
      <c r="J394" s="107"/>
      <c r="K394" s="107"/>
      <c r="L394" s="107"/>
      <c r="M394" s="107"/>
      <c r="N394" s="107"/>
      <c r="O394" s="107"/>
    </row>
    <row r="395" spans="1:24" x14ac:dyDescent="0.6">
      <c r="A395" s="115"/>
      <c r="B395" s="115"/>
      <c r="C395" s="44"/>
      <c r="D395" s="44"/>
      <c r="E395" s="34"/>
      <c r="F395" s="107"/>
      <c r="G395" s="107"/>
      <c r="H395" s="107"/>
      <c r="I395" s="107"/>
      <c r="J395" s="107"/>
      <c r="K395" s="107"/>
      <c r="L395" s="107"/>
      <c r="M395" s="107"/>
      <c r="N395" s="107"/>
      <c r="O395" s="107"/>
      <c r="T395" s="128" t="s">
        <v>156</v>
      </c>
      <c r="U395" s="129">
        <v>2018</v>
      </c>
      <c r="V395" s="129">
        <v>2019</v>
      </c>
      <c r="W395" s="129">
        <v>2020</v>
      </c>
      <c r="X395" s="129" t="s">
        <v>251</v>
      </c>
    </row>
    <row r="396" spans="1:24" x14ac:dyDescent="0.6">
      <c r="A396" s="115"/>
      <c r="B396" s="115"/>
      <c r="C396" s="44"/>
      <c r="D396" s="44"/>
      <c r="E396" s="44"/>
      <c r="F396" s="107"/>
      <c r="G396" s="107"/>
      <c r="H396" s="107"/>
      <c r="I396" s="107"/>
      <c r="J396" s="107"/>
      <c r="K396" s="107"/>
      <c r="L396" s="107"/>
      <c r="M396" s="107"/>
      <c r="N396" s="107"/>
      <c r="O396" s="107"/>
      <c r="T396" s="77" t="str">
        <f>Drivers!A400</f>
        <v>Credit card revenue</v>
      </c>
      <c r="U396" s="141">
        <f>Drivers!C400</f>
        <v>128.5</v>
      </c>
      <c r="V396" s="141">
        <f>Drivers!D400</f>
        <v>214.6</v>
      </c>
      <c r="W396" s="141">
        <f>Drivers!E400</f>
        <v>217.5</v>
      </c>
      <c r="X396" s="141">
        <f>Drivers!F400</f>
        <v>245.2</v>
      </c>
    </row>
    <row r="397" spans="1:24" x14ac:dyDescent="0.6">
      <c r="A397" t="s">
        <v>181</v>
      </c>
      <c r="T397" s="79" t="s">
        <v>285</v>
      </c>
      <c r="U397" s="143">
        <f>Drivers!C39</f>
        <v>1623.8</v>
      </c>
      <c r="V397" s="143">
        <f>Drivers!D39</f>
        <v>2786.5</v>
      </c>
      <c r="W397" s="143">
        <f>Drivers!E39</f>
        <v>2908.9</v>
      </c>
      <c r="X397" s="143">
        <f>Drivers!F39</f>
        <v>4780.5</v>
      </c>
    </row>
    <row r="398" spans="1:24" ht="15.9" thickBot="1" x14ac:dyDescent="0.65">
      <c r="A398" s="115" t="s">
        <v>179</v>
      </c>
      <c r="B398" s="115"/>
      <c r="C398" s="31">
        <f>'Revenue and Expenses breakdown'!B16</f>
        <v>0</v>
      </c>
      <c r="D398" s="31">
        <f>'Revenue and Expenses breakdown'!C16</f>
        <v>8.6</v>
      </c>
      <c r="E398" s="31">
        <f>'Revenue and Expenses breakdown'!D16</f>
        <v>38.9</v>
      </c>
      <c r="F398" s="227">
        <v>161.19999999999999</v>
      </c>
      <c r="T398" s="133" t="str">
        <f>Drivers!A399</f>
        <v>Implied rate</v>
      </c>
      <c r="U398" s="134">
        <f>Drivers!C401</f>
        <v>7.9135361497721393E-2</v>
      </c>
      <c r="V398" s="134">
        <f>Drivers!D401</f>
        <v>7.7014175488964651E-2</v>
      </c>
      <c r="W398" s="134">
        <f>Drivers!E401</f>
        <v>7.4770531816150426E-2</v>
      </c>
      <c r="X398" s="134">
        <f>Drivers!F401</f>
        <v>5.1291705888505387E-2</v>
      </c>
    </row>
    <row r="399" spans="1:24" x14ac:dyDescent="0.6">
      <c r="A399" s="116" t="s">
        <v>182</v>
      </c>
      <c r="B399" s="116"/>
      <c r="D399" s="117">
        <f>D398/D37</f>
        <v>0.14827586206896551</v>
      </c>
      <c r="E399" s="171">
        <f>E398/E37</f>
        <v>0.19226436781609196</v>
      </c>
      <c r="F399" s="171">
        <f>F398/F37</f>
        <v>0.13491684870397805</v>
      </c>
      <c r="T399" s="79"/>
      <c r="U399" s="153"/>
      <c r="V399" s="153"/>
      <c r="W399" s="153"/>
    </row>
    <row r="400" spans="1:24" x14ac:dyDescent="0.6">
      <c r="A400" s="142" t="s">
        <v>254</v>
      </c>
      <c r="B400" s="142"/>
      <c r="C400" s="31">
        <f>'Revenue and Expenses breakdown'!B8</f>
        <v>128.5</v>
      </c>
      <c r="D400" s="31">
        <f>'Revenue and Expenses breakdown'!C8</f>
        <v>214.6</v>
      </c>
      <c r="E400" s="31">
        <f>'Revenue and Expenses breakdown'!D8</f>
        <v>217.5</v>
      </c>
      <c r="F400" s="227">
        <v>245.2</v>
      </c>
      <c r="T400" s="79"/>
      <c r="U400" s="154"/>
      <c r="V400" s="154"/>
      <c r="W400" s="154"/>
    </row>
    <row r="401" spans="1:23" x14ac:dyDescent="0.6">
      <c r="A401" s="116" t="s">
        <v>182</v>
      </c>
      <c r="B401" s="116"/>
      <c r="C401" s="140">
        <f>C400/C39</f>
        <v>7.9135361497721393E-2</v>
      </c>
      <c r="D401" s="140">
        <f>D400/D39</f>
        <v>7.7014175488964651E-2</v>
      </c>
      <c r="E401" s="34">
        <f>E400/E39</f>
        <v>7.4770531816150426E-2</v>
      </c>
      <c r="F401" s="34">
        <f>F400/F39</f>
        <v>5.1291705888505387E-2</v>
      </c>
      <c r="T401" s="79"/>
      <c r="U401" s="155"/>
      <c r="V401" s="155"/>
      <c r="W401" s="155"/>
    </row>
    <row r="402" spans="1:23" x14ac:dyDescent="0.6">
      <c r="A402" s="116"/>
      <c r="B402" s="116"/>
      <c r="D402" s="117"/>
      <c r="E402" s="171"/>
    </row>
    <row r="403" spans="1:23" x14ac:dyDescent="0.6">
      <c r="A403" s="127" t="s">
        <v>247</v>
      </c>
      <c r="B403" s="127"/>
      <c r="D403" s="117"/>
      <c r="E403" s="171"/>
    </row>
    <row r="404" spans="1:23" x14ac:dyDescent="0.6">
      <c r="A404" s="115" t="s">
        <v>179</v>
      </c>
      <c r="B404" s="115"/>
      <c r="D404" s="117">
        <f>D399</f>
        <v>0.14827586206896551</v>
      </c>
      <c r="E404" s="171">
        <f>E399</f>
        <v>0.19226436781609196</v>
      </c>
      <c r="F404" s="171">
        <f>F399</f>
        <v>0.13491684870397805</v>
      </c>
    </row>
    <row r="405" spans="1:23" x14ac:dyDescent="0.6">
      <c r="A405" s="115" t="s">
        <v>180</v>
      </c>
      <c r="B405" s="115"/>
      <c r="D405" s="117">
        <f>D401</f>
        <v>7.7014175488964651E-2</v>
      </c>
      <c r="E405" s="171">
        <f>E401</f>
        <v>7.4770531816150426E-2</v>
      </c>
      <c r="F405" s="171">
        <f>F401</f>
        <v>5.1291705888505387E-2</v>
      </c>
    </row>
    <row r="406" spans="1:23" x14ac:dyDescent="0.6">
      <c r="A406" s="115"/>
      <c r="B406" s="115"/>
      <c r="D406" s="117"/>
      <c r="E406" s="171"/>
    </row>
    <row r="426" spans="1:15" x14ac:dyDescent="0.6">
      <c r="A426" s="92"/>
      <c r="B426" s="92"/>
      <c r="C426" s="149"/>
      <c r="D426" s="161"/>
      <c r="E426" s="161"/>
      <c r="F426" s="231"/>
      <c r="G426" s="162"/>
      <c r="H426" s="162"/>
      <c r="I426" s="162"/>
      <c r="J426" s="162"/>
      <c r="K426" s="162"/>
      <c r="L426" s="162"/>
      <c r="M426" s="162"/>
      <c r="N426" s="162"/>
      <c r="O426" s="162"/>
    </row>
    <row r="427" spans="1:15" x14ac:dyDescent="0.6">
      <c r="A427" s="92"/>
      <c r="B427" s="92"/>
      <c r="C427" s="149"/>
      <c r="D427" s="161"/>
      <c r="E427" s="161"/>
      <c r="F427" s="231"/>
      <c r="G427" s="162"/>
      <c r="H427" s="162"/>
      <c r="I427" s="162"/>
      <c r="J427" s="162"/>
      <c r="K427" s="162"/>
      <c r="L427" s="162"/>
      <c r="M427" s="162"/>
      <c r="N427" s="162"/>
      <c r="O427" s="162"/>
    </row>
    <row r="428" spans="1:15" x14ac:dyDescent="0.6">
      <c r="B428" s="92"/>
      <c r="C428" s="149"/>
      <c r="D428" s="161"/>
      <c r="E428" s="161"/>
      <c r="F428" s="231"/>
      <c r="G428" s="162"/>
      <c r="H428" s="162"/>
      <c r="I428" s="162"/>
      <c r="J428" s="162"/>
      <c r="K428" s="162"/>
      <c r="L428" s="162"/>
      <c r="M428" s="162"/>
      <c r="N428" s="162"/>
      <c r="O428" s="162"/>
    </row>
    <row r="429" spans="1:15" x14ac:dyDescent="0.6">
      <c r="A429" s="92"/>
      <c r="B429" s="92"/>
      <c r="C429" s="149"/>
      <c r="D429" s="161"/>
      <c r="E429" s="161"/>
      <c r="F429" s="231"/>
      <c r="G429" s="162"/>
      <c r="H429" s="162"/>
      <c r="I429" s="162"/>
      <c r="J429" s="162"/>
      <c r="K429" s="162"/>
      <c r="L429" s="162"/>
      <c r="M429" s="162"/>
      <c r="N429" s="162"/>
      <c r="O429" s="162"/>
    </row>
    <row r="431" spans="1:15" s="101" customFormat="1" ht="15.9" thickBot="1" x14ac:dyDescent="0.65">
      <c r="A431" s="87" t="s">
        <v>227</v>
      </c>
      <c r="B431" s="87"/>
      <c r="C431" s="109"/>
      <c r="D431" s="109"/>
      <c r="E431" s="109"/>
      <c r="F431" s="109"/>
      <c r="G431" s="109"/>
      <c r="H431" s="109"/>
      <c r="I431" s="109"/>
      <c r="J431" s="109"/>
      <c r="K431" s="109"/>
      <c r="L431" s="109"/>
      <c r="M431" s="109"/>
      <c r="N431" s="109"/>
      <c r="O431" s="109"/>
    </row>
    <row r="433" spans="1:23" x14ac:dyDescent="0.6">
      <c r="A433" t="s">
        <v>228</v>
      </c>
      <c r="E433" s="112"/>
      <c r="F433" s="227">
        <v>845.8</v>
      </c>
    </row>
    <row r="434" spans="1:23" x14ac:dyDescent="0.6">
      <c r="A434" t="s">
        <v>229</v>
      </c>
      <c r="E434" s="112"/>
      <c r="F434" s="227">
        <v>13</v>
      </c>
    </row>
    <row r="435" spans="1:23" x14ac:dyDescent="0.6">
      <c r="A435" t="s">
        <v>230</v>
      </c>
      <c r="E435" s="112"/>
      <c r="F435" s="227">
        <v>0.2</v>
      </c>
    </row>
    <row r="438" spans="1:23" x14ac:dyDescent="0.6">
      <c r="A438" t="s">
        <v>228</v>
      </c>
      <c r="E438" s="34"/>
      <c r="F438" s="34">
        <f>F433/SUM($F$433:$F$435)</f>
        <v>0.98463329452852144</v>
      </c>
    </row>
    <row r="439" spans="1:23" x14ac:dyDescent="0.6">
      <c r="A439" t="s">
        <v>229</v>
      </c>
      <c r="E439" s="34"/>
      <c r="F439" s="34">
        <f>F434/SUM($F$433:$F$435)</f>
        <v>1.5133876600698487E-2</v>
      </c>
    </row>
    <row r="440" spans="1:23" x14ac:dyDescent="0.6">
      <c r="A440" t="s">
        <v>230</v>
      </c>
      <c r="E440" s="34"/>
      <c r="F440" s="34">
        <f>F435/SUM($F$433:$F$435)</f>
        <v>2.3282887077997672E-4</v>
      </c>
    </row>
    <row r="445" spans="1:23" x14ac:dyDescent="0.6">
      <c r="S445" s="128" t="s">
        <v>156</v>
      </c>
      <c r="T445" s="129">
        <v>2018</v>
      </c>
      <c r="U445" s="129">
        <v>2019</v>
      </c>
      <c r="V445" s="129">
        <v>2020</v>
      </c>
      <c r="W445" s="129" t="s">
        <v>251</v>
      </c>
    </row>
    <row r="446" spans="1:23" x14ac:dyDescent="0.6">
      <c r="S446" s="77" t="s">
        <v>236</v>
      </c>
      <c r="T446" s="130">
        <v>9.6</v>
      </c>
      <c r="U446" s="130">
        <v>17.100000000000001</v>
      </c>
      <c r="V446" s="130">
        <v>22.5</v>
      </c>
      <c r="W446" s="130">
        <v>29.4</v>
      </c>
    </row>
    <row r="447" spans="1:23" x14ac:dyDescent="0.6">
      <c r="S447" s="79" t="s">
        <v>237</v>
      </c>
      <c r="T447" s="79">
        <v>116.5</v>
      </c>
      <c r="U447" s="79">
        <v>203.9</v>
      </c>
      <c r="V447" s="79">
        <v>254.3</v>
      </c>
      <c r="W447" s="79">
        <v>321.5</v>
      </c>
    </row>
    <row r="448" spans="1:23" ht="15.9" thickBot="1" x14ac:dyDescent="0.65">
      <c r="S448" s="133" t="s">
        <v>238</v>
      </c>
      <c r="T448" s="134">
        <v>1.2135416666666666E-2</v>
      </c>
      <c r="U448" s="134">
        <v>1.1923976608187135E-2</v>
      </c>
      <c r="V448" s="134">
        <v>1.1302222222222222E-2</v>
      </c>
      <c r="W448" s="134">
        <v>1.0935374149659864E-2</v>
      </c>
    </row>
    <row r="449" spans="1:23" x14ac:dyDescent="0.6">
      <c r="S449" s="79"/>
      <c r="T449" s="80"/>
      <c r="U449" s="80"/>
      <c r="V449" s="80"/>
      <c r="W449" s="80"/>
    </row>
    <row r="450" spans="1:23" x14ac:dyDescent="0.6">
      <c r="S450" s="77" t="s">
        <v>242</v>
      </c>
      <c r="T450" s="131" t="s">
        <v>241</v>
      </c>
      <c r="U450" s="131" t="s">
        <v>241</v>
      </c>
      <c r="V450" s="131" t="s">
        <v>241</v>
      </c>
      <c r="W450" s="131" t="s">
        <v>241</v>
      </c>
    </row>
    <row r="451" spans="1:23" x14ac:dyDescent="0.6">
      <c r="S451" s="79" t="s">
        <v>250</v>
      </c>
      <c r="T451" s="132" t="s">
        <v>243</v>
      </c>
      <c r="U451" s="132" t="s">
        <v>243</v>
      </c>
      <c r="V451" s="132" t="s">
        <v>243</v>
      </c>
      <c r="W451" s="132" t="s">
        <v>243</v>
      </c>
    </row>
    <row r="452" spans="1:23" x14ac:dyDescent="0.6">
      <c r="S452" s="77" t="s">
        <v>239</v>
      </c>
      <c r="T452" s="137">
        <v>0.71</v>
      </c>
      <c r="U452" s="137">
        <v>0.7</v>
      </c>
      <c r="V452" s="137">
        <v>0.63</v>
      </c>
      <c r="W452" s="137">
        <v>0.59599999999999997</v>
      </c>
    </row>
    <row r="453" spans="1:23" x14ac:dyDescent="0.6">
      <c r="S453" s="79" t="s">
        <v>240</v>
      </c>
      <c r="T453" s="138">
        <v>0.29000000000000004</v>
      </c>
      <c r="U453" s="138">
        <v>0.30000000000000004</v>
      </c>
      <c r="V453" s="138">
        <v>0.37</v>
      </c>
      <c r="W453" s="138">
        <v>0.40400000000000003</v>
      </c>
    </row>
    <row r="454" spans="1:23" x14ac:dyDescent="0.6">
      <c r="S454" s="77" t="s">
        <v>248</v>
      </c>
      <c r="T454" s="130">
        <v>6.8159999999999998</v>
      </c>
      <c r="U454" s="130">
        <v>11.97</v>
      </c>
      <c r="V454" s="130">
        <v>14.175000000000001</v>
      </c>
      <c r="W454" s="130">
        <v>17.522399999999998</v>
      </c>
    </row>
    <row r="455" spans="1:23" ht="15.9" thickBot="1" x14ac:dyDescent="0.65">
      <c r="S455" s="135" t="s">
        <v>249</v>
      </c>
      <c r="T455" s="139">
        <v>2.7840000000000003</v>
      </c>
      <c r="U455" s="139">
        <v>5.1300000000000008</v>
      </c>
      <c r="V455" s="139">
        <v>8.3249999999999993</v>
      </c>
      <c r="W455" s="139">
        <v>11.877600000000001</v>
      </c>
    </row>
    <row r="460" spans="1:23" x14ac:dyDescent="0.6">
      <c r="A460" s="375" t="s">
        <v>228</v>
      </c>
      <c r="B460" s="129">
        <f t="shared" ref="B460:O460" si="226">B1</f>
        <v>2017</v>
      </c>
      <c r="C460" s="129">
        <f t="shared" si="226"/>
        <v>2018</v>
      </c>
      <c r="D460" s="129">
        <f t="shared" si="226"/>
        <v>2019</v>
      </c>
      <c r="E460" s="129">
        <f t="shared" si="226"/>
        <v>2020</v>
      </c>
      <c r="F460" s="129">
        <f t="shared" si="226"/>
        <v>2021</v>
      </c>
      <c r="G460" s="129">
        <f t="shared" si="226"/>
        <v>2022</v>
      </c>
      <c r="H460" s="129">
        <f t="shared" si="226"/>
        <v>2023</v>
      </c>
      <c r="I460" s="129">
        <f t="shared" si="226"/>
        <v>2024</v>
      </c>
      <c r="J460" s="129">
        <f t="shared" si="226"/>
        <v>2025</v>
      </c>
      <c r="K460" s="129">
        <f t="shared" si="226"/>
        <v>2026</v>
      </c>
      <c r="L460" s="129">
        <f t="shared" si="226"/>
        <v>2027</v>
      </c>
      <c r="M460" s="129">
        <f t="shared" si="226"/>
        <v>2028</v>
      </c>
      <c r="N460" s="129">
        <f t="shared" si="226"/>
        <v>2029</v>
      </c>
      <c r="O460" s="129">
        <f t="shared" si="226"/>
        <v>2030</v>
      </c>
    </row>
    <row r="461" spans="1:23" x14ac:dyDescent="0.6">
      <c r="A461" s="77" t="str">
        <f t="shared" ref="A461:O461" si="227">A77</f>
        <v>Population (millions)</v>
      </c>
      <c r="B461" s="130">
        <f t="shared" si="227"/>
        <v>207.83382500000002</v>
      </c>
      <c r="C461" s="130">
        <f t="shared" si="227"/>
        <v>209.46932000000001</v>
      </c>
      <c r="D461" s="130">
        <f t="shared" si="227"/>
        <v>211.049519</v>
      </c>
      <c r="E461" s="130">
        <f t="shared" si="227"/>
        <v>212.55940900000002</v>
      </c>
      <c r="F461" s="130">
        <f t="shared" si="227"/>
        <v>213.99344099999999</v>
      </c>
      <c r="G461" s="130">
        <f t="shared" si="227"/>
        <v>215.353588</v>
      </c>
      <c r="H461" s="130">
        <f t="shared" si="227"/>
        <v>216.641839</v>
      </c>
      <c r="I461" s="130">
        <f t="shared" si="227"/>
        <v>217.86303599999999</v>
      </c>
      <c r="J461" s="130">
        <f t="shared" si="227"/>
        <v>219.02090799999999</v>
      </c>
      <c r="K461" s="130">
        <f t="shared" si="227"/>
        <v>220.114734</v>
      </c>
      <c r="L461" s="130">
        <f t="shared" si="227"/>
        <v>221.14280600000001</v>
      </c>
      <c r="M461" s="130">
        <f t="shared" si="227"/>
        <v>222.10689099999999</v>
      </c>
      <c r="N461" s="130">
        <f t="shared" si="227"/>
        <v>223.009378</v>
      </c>
      <c r="O461" s="130">
        <f t="shared" si="227"/>
        <v>223.852116</v>
      </c>
    </row>
    <row r="462" spans="1:23" x14ac:dyDescent="0.6">
      <c r="A462" s="79" t="str">
        <f t="shared" ref="A462:O462" si="228">A78</f>
        <v># of active credit cards (millions)</v>
      </c>
      <c r="B462" s="155">
        <f t="shared" si="228"/>
        <v>83</v>
      </c>
      <c r="C462" s="155">
        <f t="shared" si="228"/>
        <v>98.838999999999999</v>
      </c>
      <c r="D462" s="155">
        <f t="shared" si="228"/>
        <v>119.449</v>
      </c>
      <c r="E462" s="155">
        <f t="shared" si="228"/>
        <v>133.75700000000001</v>
      </c>
      <c r="F462" s="155">
        <f t="shared" si="228"/>
        <v>143.44877027453666</v>
      </c>
      <c r="G462" s="155">
        <f t="shared" si="228"/>
        <v>157.99345855483438</v>
      </c>
      <c r="H462" s="155">
        <f t="shared" si="228"/>
        <v>173.20919177704263</v>
      </c>
      <c r="I462" s="155">
        <f t="shared" si="228"/>
        <v>183.69314630589881</v>
      </c>
      <c r="J462" s="155">
        <f t="shared" si="228"/>
        <v>194.22753082896244</v>
      </c>
      <c r="K462" s="155">
        <f t="shared" si="228"/>
        <v>204.80338395405073</v>
      </c>
      <c r="L462" s="155">
        <f t="shared" si="228"/>
        <v>215.4106570142755</v>
      </c>
      <c r="M462" s="155">
        <f t="shared" si="228"/>
        <v>226.042539768621</v>
      </c>
      <c r="N462" s="155">
        <f t="shared" si="228"/>
        <v>236.69319059074971</v>
      </c>
      <c r="O462" s="155">
        <f t="shared" si="228"/>
        <v>247.35658817999999</v>
      </c>
    </row>
    <row r="463" spans="1:23" x14ac:dyDescent="0.6">
      <c r="A463" s="77" t="str">
        <f t="shared" ref="A463:O463" si="229">A79</f>
        <v>Credit card penetration</v>
      </c>
      <c r="B463" s="192">
        <f t="shared" si="229"/>
        <v>0.27</v>
      </c>
      <c r="C463" s="192">
        <f t="shared" si="229"/>
        <v>0.31456953536998483</v>
      </c>
      <c r="D463" s="192">
        <f t="shared" si="229"/>
        <v>0.36514592088571374</v>
      </c>
      <c r="E463" s="192">
        <f t="shared" si="229"/>
        <v>0.39329298756189141</v>
      </c>
      <c r="F463" s="192">
        <f t="shared" si="229"/>
        <v>0.41896368880570228</v>
      </c>
      <c r="G463" s="192">
        <f t="shared" si="229"/>
        <v>0.44463439004951316</v>
      </c>
      <c r="H463" s="192">
        <f t="shared" si="229"/>
        <v>0.47030509129332404</v>
      </c>
      <c r="I463" s="192">
        <f t="shared" si="229"/>
        <v>0.49597579253713492</v>
      </c>
      <c r="J463" s="192">
        <f t="shared" si="229"/>
        <v>0.52164649378094574</v>
      </c>
      <c r="K463" s="192">
        <f t="shared" si="229"/>
        <v>0.54731719502475662</v>
      </c>
      <c r="L463" s="192">
        <f t="shared" si="229"/>
        <v>0.5729878962685675</v>
      </c>
      <c r="M463" s="192">
        <f t="shared" si="229"/>
        <v>0.59865859751237838</v>
      </c>
      <c r="N463" s="192">
        <f t="shared" si="229"/>
        <v>0.62432929875618925</v>
      </c>
      <c r="O463" s="192">
        <f t="shared" si="229"/>
        <v>0.65</v>
      </c>
    </row>
    <row r="464" spans="1:23" x14ac:dyDescent="0.6">
      <c r="A464" s="79" t="str">
        <f t="shared" ref="A464:O464" si="230">A80</f>
        <v>Card holders, million</v>
      </c>
      <c r="B464" s="154">
        <f t="shared" si="230"/>
        <v>56.115132750000008</v>
      </c>
      <c r="C464" s="154">
        <f t="shared" si="230"/>
        <v>65.89266666666667</v>
      </c>
      <c r="D464" s="154">
        <f t="shared" si="230"/>
        <v>77.063870967741934</v>
      </c>
      <c r="E464" s="154">
        <f t="shared" si="230"/>
        <v>83.598124999999996</v>
      </c>
      <c r="F464" s="154">
        <f t="shared" si="230"/>
        <v>89.655481421585407</v>
      </c>
      <c r="G464" s="154">
        <f t="shared" si="230"/>
        <v>95.753611245354165</v>
      </c>
      <c r="H464" s="154">
        <f t="shared" si="230"/>
        <v>101.8877598688486</v>
      </c>
      <c r="I464" s="154">
        <f t="shared" si="230"/>
        <v>108.05479194464635</v>
      </c>
      <c r="J464" s="154">
        <f t="shared" si="230"/>
        <v>114.25148872291909</v>
      </c>
      <c r="K464" s="154">
        <f t="shared" si="230"/>
        <v>120.47257879650043</v>
      </c>
      <c r="L464" s="154">
        <f t="shared" si="230"/>
        <v>126.71215118486795</v>
      </c>
      <c r="M464" s="154">
        <f t="shared" si="230"/>
        <v>132.9661998638947</v>
      </c>
      <c r="N464" s="154">
        <f t="shared" si="230"/>
        <v>139.23128858279395</v>
      </c>
      <c r="O464" s="154">
        <f t="shared" si="230"/>
        <v>145.5038754</v>
      </c>
    </row>
    <row r="465" spans="1:15" x14ac:dyDescent="0.6">
      <c r="A465" s="77" t="str">
        <f t="shared" ref="A465:O465" si="231">A81</f>
        <v>Cards/holder</v>
      </c>
      <c r="B465" s="189">
        <f t="shared" si="231"/>
        <v>1.4791019094577476</v>
      </c>
      <c r="C465" s="189">
        <f t="shared" si="231"/>
        <v>1.5</v>
      </c>
      <c r="D465" s="189">
        <f t="shared" si="231"/>
        <v>1.55</v>
      </c>
      <c r="E465" s="189">
        <f t="shared" si="231"/>
        <v>1.6</v>
      </c>
      <c r="F465" s="189">
        <f t="shared" si="231"/>
        <v>1.6</v>
      </c>
      <c r="G465" s="189">
        <f t="shared" si="231"/>
        <v>1.65</v>
      </c>
      <c r="H465" s="189">
        <f t="shared" si="231"/>
        <v>1.7</v>
      </c>
      <c r="I465" s="189">
        <f t="shared" si="231"/>
        <v>1.7</v>
      </c>
      <c r="J465" s="189">
        <f t="shared" si="231"/>
        <v>1.7</v>
      </c>
      <c r="K465" s="189">
        <f t="shared" si="231"/>
        <v>1.7</v>
      </c>
      <c r="L465" s="189">
        <f t="shared" si="231"/>
        <v>1.7</v>
      </c>
      <c r="M465" s="189">
        <f t="shared" si="231"/>
        <v>1.7</v>
      </c>
      <c r="N465" s="189">
        <f t="shared" si="231"/>
        <v>1.7</v>
      </c>
      <c r="O465" s="189">
        <f t="shared" si="231"/>
        <v>1.7</v>
      </c>
    </row>
    <row r="466" spans="1:15" x14ac:dyDescent="0.6">
      <c r="A466" s="79"/>
      <c r="B466" s="132"/>
      <c r="C466" s="132"/>
      <c r="D466" s="132"/>
      <c r="E466" s="132"/>
      <c r="F466" s="132"/>
      <c r="G466" s="132"/>
      <c r="H466" s="132"/>
      <c r="I466" s="132"/>
      <c r="J466" s="132"/>
      <c r="K466" s="132"/>
      <c r="L466" s="132"/>
      <c r="M466" s="132"/>
      <c r="N466" s="132"/>
      <c r="O466" s="132"/>
    </row>
    <row r="467" spans="1:15" x14ac:dyDescent="0.6">
      <c r="A467" s="77" t="str">
        <f>A8</f>
        <v>Nubank active clients (Brazil, Mexico and Colombia) - year end</v>
      </c>
      <c r="B467" s="188"/>
      <c r="C467" s="188">
        <f t="shared" ref="C467:O467" si="232">C8</f>
        <v>5.0999999999999996</v>
      </c>
      <c r="D467" s="188">
        <f t="shared" si="232"/>
        <v>12.1</v>
      </c>
      <c r="E467" s="188">
        <f t="shared" si="232"/>
        <v>21.8</v>
      </c>
      <c r="F467" s="188">
        <f t="shared" si="232"/>
        <v>41.1</v>
      </c>
      <c r="G467" s="188">
        <f t="shared" si="232"/>
        <v>61.2</v>
      </c>
      <c r="H467" s="188">
        <f t="shared" si="232"/>
        <v>78</v>
      </c>
      <c r="I467" s="188">
        <f t="shared" si="232"/>
        <v>94.2</v>
      </c>
      <c r="J467" s="188">
        <f t="shared" si="232"/>
        <v>106.6</v>
      </c>
      <c r="K467" s="188">
        <f t="shared" si="232"/>
        <v>116.39999999999999</v>
      </c>
      <c r="L467" s="188">
        <f t="shared" si="232"/>
        <v>125.39999999999999</v>
      </c>
      <c r="M467" s="188">
        <f t="shared" si="232"/>
        <v>132.4</v>
      </c>
      <c r="N467" s="188">
        <f t="shared" si="232"/>
        <v>136.9</v>
      </c>
      <c r="O467" s="188">
        <f t="shared" si="232"/>
        <v>140.30000000000001</v>
      </c>
    </row>
    <row r="468" spans="1:15" x14ac:dyDescent="0.6">
      <c r="A468" s="79" t="str">
        <f>A86</f>
        <v>% of Nubank active clients with a credit card</v>
      </c>
      <c r="B468" s="138"/>
      <c r="C468" s="138">
        <f t="shared" ref="C468:O468" si="233">C86</f>
        <v>0.72499999999999998</v>
      </c>
      <c r="D468" s="138">
        <f t="shared" si="233"/>
        <v>0.72499999999999998</v>
      </c>
      <c r="E468" s="138">
        <f t="shared" si="233"/>
        <v>0.65137614678899081</v>
      </c>
      <c r="F468" s="138">
        <f t="shared" si="233"/>
        <v>0.58313831466726107</v>
      </c>
      <c r="G468" s="138">
        <f t="shared" si="233"/>
        <v>0.52265457193690812</v>
      </c>
      <c r="H468" s="138">
        <f t="shared" si="233"/>
        <v>0.51417119327142113</v>
      </c>
      <c r="I468" s="138">
        <f t="shared" si="233"/>
        <v>0.53</v>
      </c>
      <c r="J468" s="138">
        <f t="shared" si="233"/>
        <v>0.54</v>
      </c>
      <c r="K468" s="138">
        <f t="shared" si="233"/>
        <v>0.56000000000000005</v>
      </c>
      <c r="L468" s="138">
        <f t="shared" si="233"/>
        <v>0.57999999999999996</v>
      </c>
      <c r="M468" s="138">
        <f t="shared" si="233"/>
        <v>0.6</v>
      </c>
      <c r="N468" s="138">
        <f t="shared" si="233"/>
        <v>0.62</v>
      </c>
      <c r="O468" s="138">
        <f t="shared" si="233"/>
        <v>0.64</v>
      </c>
    </row>
    <row r="469" spans="1:15" x14ac:dyDescent="0.6">
      <c r="A469" s="77" t="str">
        <f>A87</f>
        <v>Nubank active credit cards</v>
      </c>
      <c r="B469" s="130"/>
      <c r="C469" s="130">
        <f t="shared" ref="C469:O469" si="234">C87</f>
        <v>3.6974999999999998</v>
      </c>
      <c r="D469" s="130">
        <f t="shared" si="234"/>
        <v>8.7724999999999991</v>
      </c>
      <c r="E469" s="130">
        <f t="shared" si="234"/>
        <v>14.2</v>
      </c>
      <c r="F469" s="130">
        <f t="shared" si="234"/>
        <v>23.3</v>
      </c>
      <c r="G469" s="130">
        <f t="shared" si="234"/>
        <v>30.4</v>
      </c>
      <c r="H469" s="130">
        <f t="shared" si="234"/>
        <v>37.5</v>
      </c>
      <c r="I469" s="130">
        <f t="shared" si="234"/>
        <v>44.484440894568692</v>
      </c>
      <c r="J469" s="130">
        <f t="shared" si="234"/>
        <v>48.563769968051119</v>
      </c>
      <c r="K469" s="130">
        <f t="shared" si="234"/>
        <v>52.602428115015975</v>
      </c>
      <c r="L469" s="130">
        <f t="shared" si="234"/>
        <v>56.221086261980822</v>
      </c>
      <c r="M469" s="130">
        <f t="shared" si="234"/>
        <v>59.35974440894568</v>
      </c>
      <c r="N469" s="130">
        <f t="shared" si="234"/>
        <v>62.578402555910543</v>
      </c>
      <c r="O469" s="130">
        <f t="shared" si="234"/>
        <v>65.877060702875397</v>
      </c>
    </row>
    <row r="470" spans="1:15" ht="15.9" thickBot="1" x14ac:dyDescent="0.65">
      <c r="A470" s="135" t="s">
        <v>397</v>
      </c>
      <c r="B470" s="139"/>
      <c r="C470" s="190">
        <f t="shared" ref="C470:O470" si="235">C89</f>
        <v>3.7409322231103104E-2</v>
      </c>
      <c r="D470" s="190">
        <f t="shared" si="235"/>
        <v>7.3441385026245504E-2</v>
      </c>
      <c r="E470" s="190">
        <f t="shared" si="235"/>
        <v>0.1061626681220422</v>
      </c>
      <c r="F470" s="190">
        <f t="shared" si="235"/>
        <v>0.16242732478924529</v>
      </c>
      <c r="G470" s="190">
        <f t="shared" si="235"/>
        <v>0.19241302948912375</v>
      </c>
      <c r="H470" s="190">
        <f t="shared" si="235"/>
        <v>0.21650121229288188</v>
      </c>
      <c r="I470" s="190">
        <f t="shared" si="235"/>
        <v>0.24216712375588612</v>
      </c>
      <c r="J470" s="190">
        <f t="shared" si="235"/>
        <v>0.25003545975578806</v>
      </c>
      <c r="K470" s="190">
        <f t="shared" si="235"/>
        <v>0.25684354964963735</v>
      </c>
      <c r="L470" s="190">
        <f t="shared" si="235"/>
        <v>0.26099491567056032</v>
      </c>
      <c r="M470" s="190">
        <f t="shared" si="235"/>
        <v>0.26260430655975997</v>
      </c>
      <c r="N470" s="190">
        <f t="shared" si="235"/>
        <v>0.26438615491947404</v>
      </c>
      <c r="O470" s="190">
        <f t="shared" si="235"/>
        <v>0.26632426161593492</v>
      </c>
    </row>
    <row r="473" spans="1:15" x14ac:dyDescent="0.6">
      <c r="B473">
        <v>2017</v>
      </c>
      <c r="C473">
        <v>2018</v>
      </c>
      <c r="D473">
        <v>2019</v>
      </c>
      <c r="E473">
        <v>2020</v>
      </c>
      <c r="F473">
        <v>2021</v>
      </c>
      <c r="G473">
        <v>2022</v>
      </c>
      <c r="H473">
        <v>2023</v>
      </c>
      <c r="I473">
        <v>2024</v>
      </c>
      <c r="J473">
        <v>2025</v>
      </c>
      <c r="K473">
        <v>2026</v>
      </c>
      <c r="L473">
        <v>2027</v>
      </c>
      <c r="M473">
        <v>2028</v>
      </c>
      <c r="N473">
        <v>2029</v>
      </c>
      <c r="O473">
        <v>2030</v>
      </c>
    </row>
    <row r="474" spans="1:15" x14ac:dyDescent="0.6">
      <c r="A474" s="77" t="str">
        <f t="shared" ref="A474:O474" si="236">A463</f>
        <v>Credit card penetration</v>
      </c>
      <c r="B474" s="187">
        <f t="shared" si="236"/>
        <v>0.27</v>
      </c>
      <c r="C474" s="187">
        <f t="shared" si="236"/>
        <v>0.31456953536998483</v>
      </c>
      <c r="D474" s="187">
        <f t="shared" si="236"/>
        <v>0.36514592088571374</v>
      </c>
      <c r="E474" s="187">
        <f t="shared" si="236"/>
        <v>0.39329298756189141</v>
      </c>
      <c r="F474" s="187">
        <f t="shared" si="236"/>
        <v>0.41896368880570228</v>
      </c>
      <c r="G474" s="187">
        <f t="shared" si="236"/>
        <v>0.44463439004951316</v>
      </c>
      <c r="H474" s="187">
        <f t="shared" si="236"/>
        <v>0.47030509129332404</v>
      </c>
      <c r="I474" s="187">
        <f t="shared" si="236"/>
        <v>0.49597579253713492</v>
      </c>
      <c r="J474" s="187">
        <f t="shared" si="236"/>
        <v>0.52164649378094574</v>
      </c>
      <c r="K474" s="187">
        <f t="shared" si="236"/>
        <v>0.54731719502475662</v>
      </c>
      <c r="L474" s="187">
        <f t="shared" si="236"/>
        <v>0.5729878962685675</v>
      </c>
      <c r="M474" s="187">
        <f t="shared" si="236"/>
        <v>0.59865859751237838</v>
      </c>
      <c r="N474" s="187">
        <f t="shared" si="236"/>
        <v>0.62432929875618925</v>
      </c>
      <c r="O474" s="187">
        <f t="shared" si="236"/>
        <v>0.65</v>
      </c>
    </row>
    <row r="475" spans="1:15" x14ac:dyDescent="0.6">
      <c r="A475" s="77" t="str">
        <f>A470</f>
        <v>Nubank's BR credit card market share</v>
      </c>
      <c r="B475" s="192">
        <f t="shared" ref="B475:O475" si="237">B470</f>
        <v>0</v>
      </c>
      <c r="C475" s="192">
        <f t="shared" si="237"/>
        <v>3.7409322231103104E-2</v>
      </c>
      <c r="D475" s="192">
        <f t="shared" si="237"/>
        <v>7.3441385026245504E-2</v>
      </c>
      <c r="E475" s="192">
        <f t="shared" si="237"/>
        <v>0.1061626681220422</v>
      </c>
      <c r="F475" s="192">
        <f t="shared" si="237"/>
        <v>0.16242732478924529</v>
      </c>
      <c r="G475" s="192">
        <f t="shared" si="237"/>
        <v>0.19241302948912375</v>
      </c>
      <c r="H475" s="192">
        <f t="shared" si="237"/>
        <v>0.21650121229288188</v>
      </c>
      <c r="I475" s="192">
        <f t="shared" si="237"/>
        <v>0.24216712375588612</v>
      </c>
      <c r="J475" s="192">
        <f t="shared" si="237"/>
        <v>0.25003545975578806</v>
      </c>
      <c r="K475" s="192">
        <f t="shared" si="237"/>
        <v>0.25684354964963735</v>
      </c>
      <c r="L475" s="192">
        <f t="shared" si="237"/>
        <v>0.26099491567056032</v>
      </c>
      <c r="M475" s="192">
        <f t="shared" si="237"/>
        <v>0.26260430655975997</v>
      </c>
      <c r="N475" s="192">
        <f t="shared" si="237"/>
        <v>0.26438615491947404</v>
      </c>
      <c r="O475" s="192">
        <f t="shared" si="237"/>
        <v>0.26632426161593492</v>
      </c>
    </row>
    <row r="477" spans="1:15" x14ac:dyDescent="0.6">
      <c r="B477">
        <v>2017</v>
      </c>
      <c r="C477">
        <v>2018</v>
      </c>
      <c r="D477">
        <v>2019</v>
      </c>
      <c r="E477">
        <v>2020</v>
      </c>
      <c r="F477">
        <v>2021</v>
      </c>
      <c r="G477">
        <v>2022</v>
      </c>
      <c r="H477">
        <v>2023</v>
      </c>
      <c r="I477">
        <v>2024</v>
      </c>
      <c r="J477">
        <v>2025</v>
      </c>
      <c r="K477">
        <v>2026</v>
      </c>
      <c r="L477">
        <v>2027</v>
      </c>
      <c r="M477">
        <v>2028</v>
      </c>
      <c r="N477">
        <v>2029</v>
      </c>
      <c r="O477">
        <v>2030</v>
      </c>
    </row>
    <row r="478" spans="1:15" x14ac:dyDescent="0.6">
      <c r="A478" t="str">
        <f t="shared" ref="A478:O478" si="238">A106</f>
        <v>Average personal loan/active client (USD)</v>
      </c>
      <c r="B478">
        <f t="shared" si="238"/>
        <v>0</v>
      </c>
      <c r="C478">
        <f t="shared" si="238"/>
        <v>0</v>
      </c>
      <c r="D478" s="216">
        <f t="shared" si="238"/>
        <v>479.3388429752066</v>
      </c>
      <c r="E478" s="216">
        <f t="shared" si="238"/>
        <v>618.73266481758048</v>
      </c>
      <c r="F478" s="216">
        <f t="shared" si="238"/>
        <v>582.52563102468366</v>
      </c>
      <c r="G478" s="216">
        <f t="shared" si="238"/>
        <v>336.95966149506336</v>
      </c>
      <c r="H478" s="216">
        <f t="shared" si="238"/>
        <v>458.20271744361395</v>
      </c>
      <c r="I478" s="216">
        <f t="shared" si="238"/>
        <v>477.76380799920679</v>
      </c>
      <c r="J478" s="216">
        <f t="shared" si="238"/>
        <v>515.98491263914332</v>
      </c>
      <c r="K478" s="216">
        <f t="shared" si="238"/>
        <v>541.78415827110052</v>
      </c>
      <c r="L478" s="216">
        <f t="shared" si="238"/>
        <v>568.87336618465554</v>
      </c>
      <c r="M478" s="216">
        <f t="shared" si="238"/>
        <v>597.3170344938884</v>
      </c>
      <c r="N478" s="216">
        <f t="shared" si="238"/>
        <v>627.18288621858289</v>
      </c>
      <c r="O478" s="216">
        <f t="shared" si="238"/>
        <v>658.54203052951198</v>
      </c>
    </row>
    <row r="479" spans="1:15" x14ac:dyDescent="0.6">
      <c r="A479" t="s">
        <v>609</v>
      </c>
      <c r="C479">
        <f t="shared" ref="C479:O479" si="239">C102</f>
        <v>1623.8</v>
      </c>
      <c r="D479" s="216">
        <f t="shared" si="239"/>
        <v>2786.5</v>
      </c>
      <c r="E479" s="216">
        <f t="shared" si="239"/>
        <v>2908.9</v>
      </c>
      <c r="F479" s="216">
        <f t="shared" si="239"/>
        <v>4651.4038342609774</v>
      </c>
      <c r="G479" s="216">
        <f t="shared" si="239"/>
        <v>7849.1857313077162</v>
      </c>
      <c r="H479" s="216">
        <f t="shared" si="239"/>
        <v>11733.617307692306</v>
      </c>
      <c r="I479" s="216">
        <f t="shared" si="239"/>
        <v>12914.323679005076</v>
      </c>
      <c r="J479" s="216">
        <f t="shared" si="239"/>
        <v>15508.457676679607</v>
      </c>
      <c r="K479" s="216">
        <f t="shared" si="239"/>
        <v>18142.025075501937</v>
      </c>
      <c r="L479" s="216">
        <f t="shared" si="239"/>
        <v>20553.466006874161</v>
      </c>
      <c r="M479" s="216">
        <f t="shared" si="239"/>
        <v>23002.959996056095</v>
      </c>
      <c r="N479" s="216">
        <f t="shared" si="239"/>
        <v>25705.262299232472</v>
      </c>
      <c r="O479" s="216">
        <f t="shared" si="239"/>
        <v>28683.863426496609</v>
      </c>
    </row>
    <row r="480" spans="1:15" x14ac:dyDescent="0.6">
      <c r="A480" t="s">
        <v>158</v>
      </c>
      <c r="C480">
        <f>'Revenue and Expenses breakdown'!B8*C488</f>
        <v>128.5</v>
      </c>
      <c r="D480">
        <f>'Revenue and Expenses breakdown'!C8*D488</f>
        <v>214.6</v>
      </c>
      <c r="E480">
        <f>'Revenue and Expenses breakdown'!D8*E488</f>
        <v>217.5</v>
      </c>
      <c r="F480">
        <f>'Revenue and Expenses breakdown'!E8*F488</f>
        <v>347.06493506493507</v>
      </c>
      <c r="G480">
        <f>'Revenue and Expenses breakdown'!F8*G488</f>
        <v>964.53937667560342</v>
      </c>
      <c r="H480">
        <f>'Revenue and Expenses breakdown'!G8*H488</f>
        <v>2357.2289669861552</v>
      </c>
      <c r="I480">
        <f>'Revenue and Expenses breakdown'!H8*I488</f>
        <v>3631.9557354050899</v>
      </c>
      <c r="J480">
        <f>'Revenue and Expenses breakdown'!I8*J488</f>
        <v>4039.4641335254896</v>
      </c>
      <c r="K480">
        <f>'Revenue and Expenses breakdown'!J8*K488</f>
        <v>4663.4311080930438</v>
      </c>
      <c r="L480">
        <f>'Revenue and Expenses breakdown'!K8*L488</f>
        <v>4991.366127220278</v>
      </c>
      <c r="M480">
        <f>'Revenue and Expenses breakdown'!L8*M488</f>
        <v>5154.3030525599115</v>
      </c>
      <c r="N480">
        <f>'Revenue and Expenses breakdown'!M8*N488</f>
        <v>5532.6510067015461</v>
      </c>
      <c r="O480">
        <f>'Revenue and Expenses breakdown'!N8*O488</f>
        <v>6202.7276104594494</v>
      </c>
    </row>
    <row r="481" spans="1:15" x14ac:dyDescent="0.6">
      <c r="A481" t="str">
        <f>'Revenue and Expenses breakdown'!A10</f>
        <v>Yield</v>
      </c>
      <c r="C481" s="194">
        <f>'Revenue and Expenses breakdown'!B10</f>
        <v>7.9135361497721393E-2</v>
      </c>
      <c r="D481" s="194">
        <f>'Revenue and Expenses breakdown'!C10</f>
        <v>9.7317642790739858E-2</v>
      </c>
      <c r="E481" s="111">
        <f>'Revenue and Expenses breakdown'!D10</f>
        <v>7.6377427397548908E-2</v>
      </c>
      <c r="F481" s="111">
        <f>'Revenue and Expenses breakdown'!E10</f>
        <v>9.2855099227508009E-2</v>
      </c>
      <c r="G481" s="194">
        <f>'Revenue and Expenses breakdown'!F10</f>
        <v>0.14041680147994015</v>
      </c>
      <c r="H481" s="194">
        <f>'Revenue and Expenses breakdown'!G10</f>
        <v>0.21190216020845593</v>
      </c>
      <c r="I481" s="194">
        <f>'Revenue and Expenses breakdown'!H10</f>
        <v>0.26500000000000001</v>
      </c>
      <c r="J481" s="194">
        <f>'Revenue and Expenses breakdown'!I10</f>
        <v>0.26</v>
      </c>
      <c r="K481" s="194">
        <f>'Revenue and Expenses breakdown'!J10</f>
        <v>0.25</v>
      </c>
      <c r="L481" s="194">
        <f>'Revenue and Expenses breakdown'!K10</f>
        <v>0.23</v>
      </c>
      <c r="M481" s="194">
        <f>'Revenue and Expenses breakdown'!L10</f>
        <v>0.21</v>
      </c>
      <c r="N481" s="194">
        <f>'Revenue and Expenses breakdown'!M10</f>
        <v>0.2</v>
      </c>
      <c r="O481" s="194">
        <f>'Revenue and Expenses breakdown'!N10</f>
        <v>0.2</v>
      </c>
    </row>
    <row r="487" spans="1:15" x14ac:dyDescent="0.6">
      <c r="B487">
        <v>2017</v>
      </c>
      <c r="C487">
        <v>2018</v>
      </c>
      <c r="D487">
        <v>2019</v>
      </c>
      <c r="E487">
        <v>2020</v>
      </c>
      <c r="F487">
        <v>2021</v>
      </c>
      <c r="G487">
        <v>2022</v>
      </c>
      <c r="H487">
        <v>2023</v>
      </c>
      <c r="I487">
        <v>2024</v>
      </c>
      <c r="J487">
        <v>2025</v>
      </c>
      <c r="K487">
        <v>2026</v>
      </c>
      <c r="L487">
        <v>2027</v>
      </c>
      <c r="M487">
        <v>2028</v>
      </c>
      <c r="N487">
        <v>2029</v>
      </c>
      <c r="O487">
        <v>2030</v>
      </c>
    </row>
    <row r="488" spans="1:15" x14ac:dyDescent="0.6">
      <c r="A488" t="str">
        <f t="shared" ref="A488:O488" si="240">A83</f>
        <v>% of Nubank clients in Brazil</v>
      </c>
      <c r="B488" s="193">
        <f t="shared" si="240"/>
        <v>0</v>
      </c>
      <c r="C488" s="193">
        <f t="shared" si="240"/>
        <v>1</v>
      </c>
      <c r="D488" s="193">
        <f t="shared" si="240"/>
        <v>1</v>
      </c>
      <c r="E488" s="233">
        <f t="shared" si="240"/>
        <v>1</v>
      </c>
      <c r="F488" s="233">
        <f t="shared" si="240"/>
        <v>0.9721706864564007</v>
      </c>
      <c r="G488" s="193">
        <f t="shared" si="240"/>
        <v>0.95040214477211815</v>
      </c>
      <c r="H488" s="193">
        <f t="shared" si="240"/>
        <v>0.93503727369542056</v>
      </c>
      <c r="I488" s="193">
        <f t="shared" si="240"/>
        <v>0.89100750900470072</v>
      </c>
      <c r="J488" s="193">
        <f t="shared" si="240"/>
        <v>0.84364828656888191</v>
      </c>
      <c r="K488" s="193">
        <f t="shared" si="240"/>
        <v>0.80698374010517882</v>
      </c>
      <c r="L488" s="193">
        <f t="shared" si="240"/>
        <v>0.77298969177227128</v>
      </c>
      <c r="M488" s="193">
        <f t="shared" si="240"/>
        <v>0.74722739689005135</v>
      </c>
      <c r="N488" s="193">
        <f t="shared" si="240"/>
        <v>0.73727470670739814</v>
      </c>
      <c r="O488" s="193">
        <f t="shared" si="240"/>
        <v>0.73366291766388314</v>
      </c>
    </row>
    <row r="489" spans="1:15" x14ac:dyDescent="0.6">
      <c r="A489" t="str">
        <f t="shared" ref="A489:O489" si="241">A136</f>
        <v>% of Nubank clients in Mexico</v>
      </c>
      <c r="B489" s="193">
        <f t="shared" si="241"/>
        <v>0</v>
      </c>
      <c r="C489" s="193">
        <f t="shared" si="241"/>
        <v>0</v>
      </c>
      <c r="D489" s="193">
        <f t="shared" si="241"/>
        <v>0</v>
      </c>
      <c r="E489" s="233">
        <f t="shared" si="241"/>
        <v>0</v>
      </c>
      <c r="F489" s="233">
        <f t="shared" si="241"/>
        <v>2.5974025974025972E-2</v>
      </c>
      <c r="G489" s="193">
        <f t="shared" si="241"/>
        <v>4.2895442359249338E-2</v>
      </c>
      <c r="H489" s="193">
        <f t="shared" si="241"/>
        <v>5.5378061767838119E-2</v>
      </c>
      <c r="I489" s="193">
        <f t="shared" si="241"/>
        <v>9.8933002313071894E-2</v>
      </c>
      <c r="J489" s="193">
        <f t="shared" si="241"/>
        <v>0.14371002643425304</v>
      </c>
      <c r="K489" s="193">
        <f t="shared" si="241"/>
        <v>0.17456605513652382</v>
      </c>
      <c r="L489" s="193">
        <f t="shared" si="241"/>
        <v>0.20190979918573662</v>
      </c>
      <c r="M489" s="193">
        <f t="shared" si="241"/>
        <v>0.22144629016534267</v>
      </c>
      <c r="N489" s="193">
        <f t="shared" si="241"/>
        <v>0.22877639750103265</v>
      </c>
      <c r="O489" s="193">
        <f t="shared" si="241"/>
        <v>0.23035986327791422</v>
      </c>
    </row>
    <row r="490" spans="1:15" x14ac:dyDescent="0.6">
      <c r="A490" t="str">
        <f t="shared" ref="A490:O490" si="242">A167</f>
        <v>% of Nubank clients in Colombia</v>
      </c>
      <c r="B490" s="193">
        <f t="shared" si="242"/>
        <v>0</v>
      </c>
      <c r="C490" s="193">
        <f t="shared" si="242"/>
        <v>0</v>
      </c>
      <c r="D490" s="193">
        <f t="shared" si="242"/>
        <v>0</v>
      </c>
      <c r="E490" s="233">
        <f t="shared" si="242"/>
        <v>0</v>
      </c>
      <c r="F490" s="233">
        <f t="shared" si="242"/>
        <v>1.8552875695732854E-3</v>
      </c>
      <c r="G490" s="193">
        <f t="shared" si="242"/>
        <v>6.7024128686325535E-3</v>
      </c>
      <c r="H490" s="193">
        <f t="shared" si="242"/>
        <v>9.5846645367413021E-3</v>
      </c>
      <c r="I490" s="193">
        <f t="shared" si="242"/>
        <v>1.0059488682227403E-2</v>
      </c>
      <c r="J490" s="193">
        <f t="shared" si="242"/>
        <v>1.2641686996865119E-2</v>
      </c>
      <c r="K490" s="193">
        <f t="shared" si="242"/>
        <v>1.845020475829744E-2</v>
      </c>
      <c r="L490" s="193">
        <f t="shared" si="242"/>
        <v>2.5100509041992201E-2</v>
      </c>
      <c r="M490" s="193">
        <f t="shared" si="242"/>
        <v>3.1326312944605902E-2</v>
      </c>
      <c r="N490" s="193">
        <f t="shared" si="242"/>
        <v>3.3948895791569185E-2</v>
      </c>
      <c r="O490" s="193">
        <f t="shared" si="242"/>
        <v>3.5977219058202579E-2</v>
      </c>
    </row>
    <row r="494" spans="1:15" x14ac:dyDescent="0.6">
      <c r="A494" s="191"/>
      <c r="B494" s="129">
        <f>B460</f>
        <v>2017</v>
      </c>
      <c r="C494" s="129">
        <f t="shared" ref="C494:O494" si="243">C460</f>
        <v>2018</v>
      </c>
      <c r="D494" s="129">
        <f t="shared" si="243"/>
        <v>2019</v>
      </c>
      <c r="E494" s="129">
        <f t="shared" si="243"/>
        <v>2020</v>
      </c>
      <c r="F494" s="129">
        <f t="shared" si="243"/>
        <v>2021</v>
      </c>
      <c r="G494" s="129">
        <f t="shared" si="243"/>
        <v>2022</v>
      </c>
      <c r="H494" s="129">
        <f t="shared" si="243"/>
        <v>2023</v>
      </c>
      <c r="I494" s="129">
        <f t="shared" si="243"/>
        <v>2024</v>
      </c>
      <c r="J494" s="129">
        <f t="shared" si="243"/>
        <v>2025</v>
      </c>
      <c r="K494" s="129">
        <f t="shared" si="243"/>
        <v>2026</v>
      </c>
      <c r="L494" s="129">
        <f t="shared" si="243"/>
        <v>2027</v>
      </c>
      <c r="M494" s="129">
        <f t="shared" si="243"/>
        <v>2028</v>
      </c>
      <c r="N494" s="129">
        <f t="shared" si="243"/>
        <v>2029</v>
      </c>
      <c r="O494" s="129">
        <f t="shared" si="243"/>
        <v>2030</v>
      </c>
    </row>
    <row r="495" spans="1:15" x14ac:dyDescent="0.6">
      <c r="A495" s="77" t="s">
        <v>306</v>
      </c>
      <c r="B495" s="141">
        <f t="shared" ref="B495:O495" si="244">B210</f>
        <v>0</v>
      </c>
      <c r="C495" s="141">
        <f t="shared" si="244"/>
        <v>9.6</v>
      </c>
      <c r="D495" s="141">
        <f t="shared" si="244"/>
        <v>17.100000000000001</v>
      </c>
      <c r="E495" s="141">
        <f t="shared" si="244"/>
        <v>22.5</v>
      </c>
      <c r="F495" s="141">
        <f t="shared" si="244"/>
        <v>42.581076066790345</v>
      </c>
      <c r="G495" s="141">
        <f t="shared" si="244"/>
        <v>76.982573726541574</v>
      </c>
      <c r="H495" s="141">
        <f t="shared" si="244"/>
        <v>103.88264110756121</v>
      </c>
      <c r="I495" s="141">
        <f t="shared" si="244"/>
        <v>133.62129088</v>
      </c>
      <c r="J495" s="141">
        <f t="shared" si="244"/>
        <v>169.76113447597129</v>
      </c>
      <c r="K495" s="141">
        <f t="shared" si="244"/>
        <v>203.71336137116555</v>
      </c>
      <c r="L495" s="141">
        <f t="shared" si="244"/>
        <v>242.75842230063898</v>
      </c>
      <c r="M495" s="141">
        <f t="shared" si="244"/>
        <v>267.0342645307029</v>
      </c>
      <c r="N495" s="141">
        <f t="shared" si="244"/>
        <v>293.73769098377323</v>
      </c>
      <c r="O495" s="141">
        <f t="shared" si="244"/>
        <v>323.11146008215059</v>
      </c>
    </row>
    <row r="496" spans="1:15" x14ac:dyDescent="0.6">
      <c r="A496" s="79" t="s">
        <v>307</v>
      </c>
      <c r="B496" s="143">
        <f t="shared" ref="B496:O496" si="245">B242</f>
        <v>0</v>
      </c>
      <c r="C496" s="143">
        <f t="shared" si="245"/>
        <v>0</v>
      </c>
      <c r="D496" s="143">
        <f t="shared" si="245"/>
        <v>0</v>
      </c>
      <c r="E496" s="143">
        <f t="shared" si="245"/>
        <v>0</v>
      </c>
      <c r="F496" s="143">
        <f t="shared" si="245"/>
        <v>1.1376623376623376</v>
      </c>
      <c r="G496" s="143">
        <f t="shared" si="245"/>
        <v>3.4745308310991962</v>
      </c>
      <c r="H496" s="143">
        <f t="shared" si="245"/>
        <v>6.1525026624068149</v>
      </c>
      <c r="I496" s="143">
        <f t="shared" si="245"/>
        <v>15.316421909201436</v>
      </c>
      <c r="J496" s="143">
        <f t="shared" si="245"/>
        <v>27.983674794195757</v>
      </c>
      <c r="K496" s="143">
        <f t="shared" si="245"/>
        <v>42.081529734333593</v>
      </c>
      <c r="L496" s="143">
        <f t="shared" si="245"/>
        <v>54.544976832668432</v>
      </c>
      <c r="M496" s="143">
        <f t="shared" si="245"/>
        <v>61.928243732226257</v>
      </c>
      <c r="N496" s="143">
        <f t="shared" si="245"/>
        <v>64.742314324151309</v>
      </c>
      <c r="O496" s="143">
        <f t="shared" si="245"/>
        <v>65.1885422176926</v>
      </c>
    </row>
    <row r="497" spans="1:16" x14ac:dyDescent="0.6">
      <c r="A497" s="77" t="s">
        <v>308</v>
      </c>
      <c r="B497" s="141">
        <f t="shared" ref="B497:O497" si="246">B266</f>
        <v>0</v>
      </c>
      <c r="C497" s="141">
        <f t="shared" si="246"/>
        <v>0</v>
      </c>
      <c r="D497" s="141">
        <f t="shared" si="246"/>
        <v>0</v>
      </c>
      <c r="E497" s="141">
        <f t="shared" si="246"/>
        <v>0</v>
      </c>
      <c r="F497" s="141">
        <f t="shared" si="246"/>
        <v>8.1261595547309898E-2</v>
      </c>
      <c r="G497" s="141">
        <f t="shared" si="246"/>
        <v>0.54289544235923681</v>
      </c>
      <c r="H497" s="141">
        <f t="shared" ca="1" si="246"/>
        <v>0.59718498659516051</v>
      </c>
      <c r="I497" s="141">
        <f t="shared" si="246"/>
        <v>1.7306258872065665</v>
      </c>
      <c r="J497" s="141">
        <f t="shared" si="246"/>
        <v>2.3725900240085194</v>
      </c>
      <c r="K497" s="141">
        <f t="shared" si="246"/>
        <v>3.635229690565112</v>
      </c>
      <c r="L497" s="141">
        <f t="shared" si="246"/>
        <v>5.1007090648238433</v>
      </c>
      <c r="M497" s="141">
        <f t="shared" si="246"/>
        <v>6.3997765732519971</v>
      </c>
      <c r="N497" s="141">
        <f t="shared" si="246"/>
        <v>6.7867433840481546</v>
      </c>
      <c r="O497" s="141">
        <f t="shared" si="246"/>
        <v>6.9289005156330719</v>
      </c>
    </row>
    <row r="498" spans="1:16" x14ac:dyDescent="0.6">
      <c r="A498" s="79"/>
      <c r="B498" s="143"/>
      <c r="C498" s="143"/>
      <c r="D498" s="143"/>
      <c r="E498" s="143"/>
      <c r="F498" s="143"/>
      <c r="G498" s="143"/>
      <c r="H498" s="143"/>
      <c r="I498" s="143"/>
      <c r="J498" s="143"/>
      <c r="K498" s="143"/>
      <c r="L498" s="143"/>
      <c r="M498" s="143"/>
      <c r="N498" s="143"/>
      <c r="O498" s="143"/>
    </row>
    <row r="499" spans="1:16" x14ac:dyDescent="0.6">
      <c r="A499" s="77" t="s">
        <v>309</v>
      </c>
      <c r="B499" s="137">
        <f t="shared" ref="B499:O499" si="247">B198</f>
        <v>0</v>
      </c>
      <c r="C499" s="137">
        <f t="shared" si="247"/>
        <v>0.61</v>
      </c>
      <c r="D499" s="137">
        <f t="shared" si="247"/>
        <v>0.54999999999999993</v>
      </c>
      <c r="E499" s="137">
        <f t="shared" si="247"/>
        <v>0.43</v>
      </c>
      <c r="F499" s="137">
        <f t="shared" si="247"/>
        <v>0.35</v>
      </c>
      <c r="G499" s="137">
        <f t="shared" si="247"/>
        <v>0.25</v>
      </c>
      <c r="H499" s="137">
        <f t="shared" si="247"/>
        <v>0.25</v>
      </c>
      <c r="I499" s="137">
        <f t="shared" si="247"/>
        <v>0.25</v>
      </c>
      <c r="J499" s="137">
        <f t="shared" si="247"/>
        <v>0.25</v>
      </c>
      <c r="K499" s="137">
        <f t="shared" si="247"/>
        <v>0.25</v>
      </c>
      <c r="L499" s="137">
        <f t="shared" si="247"/>
        <v>0.25</v>
      </c>
      <c r="M499" s="137">
        <f t="shared" si="247"/>
        <v>0.25</v>
      </c>
      <c r="N499" s="137">
        <f t="shared" si="247"/>
        <v>0.25</v>
      </c>
      <c r="O499" s="137">
        <f t="shared" si="247"/>
        <v>0.25</v>
      </c>
    </row>
    <row r="500" spans="1:16" x14ac:dyDescent="0.6">
      <c r="A500" s="79" t="s">
        <v>310</v>
      </c>
      <c r="B500" s="138">
        <f t="shared" ref="B500:O500" si="248">B199</f>
        <v>0</v>
      </c>
      <c r="C500" s="138">
        <f t="shared" si="248"/>
        <v>0.29000000000000004</v>
      </c>
      <c r="D500" s="138">
        <f t="shared" si="248"/>
        <v>0.30000000000000004</v>
      </c>
      <c r="E500" s="138">
        <f t="shared" si="248"/>
        <v>0.37</v>
      </c>
      <c r="F500" s="138">
        <f t="shared" si="248"/>
        <v>0.4</v>
      </c>
      <c r="G500" s="138">
        <f t="shared" si="248"/>
        <v>0.4</v>
      </c>
      <c r="H500" s="138">
        <f t="shared" si="248"/>
        <v>0.4</v>
      </c>
      <c r="I500" s="138">
        <f t="shared" si="248"/>
        <v>0.4</v>
      </c>
      <c r="J500" s="138">
        <f t="shared" si="248"/>
        <v>0.4</v>
      </c>
      <c r="K500" s="138">
        <f t="shared" si="248"/>
        <v>0.4</v>
      </c>
      <c r="L500" s="138">
        <f t="shared" si="248"/>
        <v>0.4</v>
      </c>
      <c r="M500" s="138">
        <f t="shared" si="248"/>
        <v>0.4</v>
      </c>
      <c r="N500" s="138">
        <f t="shared" si="248"/>
        <v>0.4</v>
      </c>
      <c r="O500" s="138">
        <f t="shared" si="248"/>
        <v>0.4</v>
      </c>
    </row>
    <row r="501" spans="1:16" x14ac:dyDescent="0.6">
      <c r="A501" s="77"/>
      <c r="B501" s="137"/>
      <c r="C501" s="137"/>
      <c r="D501" s="137"/>
      <c r="E501" s="137"/>
      <c r="F501" s="137"/>
      <c r="G501" s="137"/>
      <c r="H501" s="137"/>
      <c r="I501" s="137"/>
      <c r="J501" s="137"/>
      <c r="K501" s="137"/>
      <c r="L501" s="137"/>
      <c r="M501" s="137"/>
      <c r="N501" s="137"/>
      <c r="O501" s="137"/>
    </row>
    <row r="502" spans="1:16" x14ac:dyDescent="0.6">
      <c r="A502" s="79" t="str">
        <f>Drivers!A202</f>
        <v>Interchange fees Revenue</v>
      </c>
      <c r="B502" s="143">
        <f>Drivers!B202</f>
        <v>0</v>
      </c>
      <c r="C502" s="143">
        <f>Drivers!C202</f>
        <v>116.5</v>
      </c>
      <c r="D502" s="80">
        <f>Drivers!D202</f>
        <v>203.9</v>
      </c>
      <c r="E502" s="80">
        <f>Drivers!E202</f>
        <v>254.3</v>
      </c>
      <c r="F502" s="80">
        <f>Drivers!F202</f>
        <v>471.505</v>
      </c>
      <c r="G502" s="80">
        <f>Drivers!G202</f>
        <v>917</v>
      </c>
      <c r="H502" s="80">
        <f>Drivers!H202</f>
        <v>1187</v>
      </c>
      <c r="I502" s="80">
        <f>Drivers!I202</f>
        <v>1341.8713702180751</v>
      </c>
      <c r="J502" s="80">
        <f>Drivers!J202</f>
        <v>1827.3605858548383</v>
      </c>
      <c r="K502" s="80">
        <f>Drivers!K202</f>
        <v>2313.1493213260983</v>
      </c>
      <c r="L502" s="80">
        <f>Drivers!L202</f>
        <v>2834.7552375837722</v>
      </c>
      <c r="M502" s="80">
        <f>Drivers!M202</f>
        <v>3171.564898361743</v>
      </c>
      <c r="N502" s="80">
        <f>Drivers!N202</f>
        <v>3475.2333540153622</v>
      </c>
      <c r="O502" s="80">
        <f>Drivers!O202</f>
        <v>3779.7481778954666</v>
      </c>
    </row>
    <row r="503" spans="1:16" x14ac:dyDescent="0.6">
      <c r="A503" s="77" t="s">
        <v>311</v>
      </c>
      <c r="B503" s="187">
        <f>Drivers!B203</f>
        <v>0</v>
      </c>
      <c r="C503" s="187">
        <f>Drivers!C203</f>
        <v>1.2135416666666666E-2</v>
      </c>
      <c r="D503" s="187">
        <f>Drivers!D203</f>
        <v>1.1923976608187135E-2</v>
      </c>
      <c r="E503" s="187">
        <f>Drivers!E203</f>
        <v>1.1302222222222222E-2</v>
      </c>
      <c r="F503" s="187">
        <f>Drivers!F203</f>
        <v>1.0764954337899544E-2</v>
      </c>
      <c r="G503" s="187">
        <f>Drivers!G203</f>
        <v>1.1320987654320987E-2</v>
      </c>
      <c r="H503" s="187">
        <f>Drivers!H203</f>
        <v>1.0684068406840684E-2</v>
      </c>
      <c r="I503" s="187">
        <f>Drivers!I203</f>
        <v>8.9061270735852904E-3</v>
      </c>
      <c r="J503" s="187">
        <f>Drivers!J203</f>
        <v>9.1314428045738832E-3</v>
      </c>
      <c r="K503" s="187">
        <f>Drivers!K203</f>
        <v>9.2737369245687231E-3</v>
      </c>
      <c r="L503" s="187">
        <f>Drivers!L203</f>
        <v>9.3740632509082093E-3</v>
      </c>
      <c r="M503" s="187">
        <f>Drivers!M203</f>
        <v>9.4571305175565577E-3</v>
      </c>
      <c r="N503" s="187">
        <f>Drivers!N203</f>
        <v>9.5142340945630552E-3</v>
      </c>
      <c r="O503" s="187">
        <f>Drivers!O203</f>
        <v>9.563440707321319E-3</v>
      </c>
    </row>
    <row r="506" spans="1:16" x14ac:dyDescent="0.6">
      <c r="C506" s="129">
        <v>2018</v>
      </c>
      <c r="D506" s="129">
        <v>2019</v>
      </c>
      <c r="E506" s="232">
        <v>2020</v>
      </c>
      <c r="F506" s="232">
        <v>2021</v>
      </c>
      <c r="G506" s="129">
        <v>2022</v>
      </c>
      <c r="H506" s="129">
        <v>2023</v>
      </c>
      <c r="I506" s="129">
        <v>2024</v>
      </c>
      <c r="J506" s="129">
        <v>2025</v>
      </c>
      <c r="K506" s="129">
        <v>2026</v>
      </c>
      <c r="L506" s="129">
        <v>2027</v>
      </c>
      <c r="M506" s="129">
        <v>2028</v>
      </c>
      <c r="N506" s="129">
        <v>2029</v>
      </c>
      <c r="O506" s="129">
        <v>2030</v>
      </c>
    </row>
    <row r="507" spans="1:16" x14ac:dyDescent="0.6">
      <c r="A507" t="s">
        <v>403</v>
      </c>
      <c r="C507" s="83">
        <f>Drivers!C37</f>
        <v>0</v>
      </c>
      <c r="D507" s="83">
        <f>Drivers!D37</f>
        <v>58</v>
      </c>
      <c r="E507" s="83">
        <f>Drivers!E37</f>
        <v>202.32558139534882</v>
      </c>
      <c r="F507" s="83">
        <f>Drivers!F37</f>
        <v>1194.81</v>
      </c>
      <c r="G507" s="83">
        <f>Drivers!G37</f>
        <v>1673</v>
      </c>
      <c r="H507" s="83">
        <f>Drivers!H37</f>
        <v>3202</v>
      </c>
      <c r="I507" s="83">
        <f>Drivers!I37</f>
        <v>5115.5955553122285</v>
      </c>
      <c r="J507" s="83">
        <f>Drivers!J37</f>
        <v>7120.1529412615355</v>
      </c>
      <c r="K507" s="83">
        <f>Drivers!K37</f>
        <v>9275.6117367715942</v>
      </c>
      <c r="L507" s="83">
        <f>Drivers!L37</f>
        <v>11794.858215714314</v>
      </c>
      <c r="M507" s="83">
        <f>Drivers!M37</f>
        <v>14389.587426944578</v>
      </c>
      <c r="N507" s="83">
        <f>Drivers!N37</f>
        <v>16526.910438636209</v>
      </c>
      <c r="O507" s="83">
        <f>Drivers!O37</f>
        <v>18591.990974353841</v>
      </c>
    </row>
    <row r="508" spans="1:16" x14ac:dyDescent="0.6">
      <c r="A508" t="str">
        <f>'Revenue and Expenses breakdown'!A16</f>
        <v>Interest income – lending</v>
      </c>
      <c r="C508" s="83">
        <f>'Revenue and Expenses breakdown'!B16</f>
        <v>0</v>
      </c>
      <c r="D508" s="83">
        <f>'Revenue and Expenses breakdown'!C16</f>
        <v>8.6</v>
      </c>
      <c r="E508" s="83">
        <f>'Revenue and Expenses breakdown'!D16</f>
        <v>38.9</v>
      </c>
      <c r="F508" s="83">
        <f>'Revenue and Expenses breakdown'!E16</f>
        <v>292.70100000000002</v>
      </c>
      <c r="G508" s="83">
        <f>'Revenue and Expenses breakdown'!F16</f>
        <v>932.19600000000003</v>
      </c>
      <c r="H508" s="83">
        <f>'Revenue and Expenses breakdown'!G16</f>
        <v>1650</v>
      </c>
      <c r="I508" s="83">
        <f>'Revenue and Expenses breakdown'!H16</f>
        <v>3260.3364835642315</v>
      </c>
      <c r="J508" s="83">
        <f>'Revenue and Expenses breakdown'!I16</f>
        <v>4750.3494163168734</v>
      </c>
      <c r="K508" s="83">
        <f>'Revenue and Expenses breakdown'!J16</f>
        <v>5979.6318237532596</v>
      </c>
      <c r="L508" s="83">
        <f>'Revenue and Expenses breakdown'!K16</f>
        <v>7064.8046311276285</v>
      </c>
      <c r="M508" s="83">
        <f>'Revenue and Expenses breakdown'!L16</f>
        <v>8163.3859944760079</v>
      </c>
      <c r="N508" s="83">
        <f>'Revenue and Expenses breakdown'!M16</f>
        <v>9093.0876075237611</v>
      </c>
      <c r="O508" s="83">
        <f>'Revenue and Expenses breakdown'!N16</f>
        <v>10329.088650879428</v>
      </c>
    </row>
    <row r="512" spans="1:16" x14ac:dyDescent="0.6">
      <c r="A512" s="191"/>
      <c r="B512" s="129">
        <f>B478</f>
        <v>0</v>
      </c>
      <c r="C512" s="129">
        <f>C478</f>
        <v>0</v>
      </c>
      <c r="D512" s="129">
        <f>D494</f>
        <v>2019</v>
      </c>
      <c r="E512" s="232">
        <f t="shared" ref="E512:O512" si="249">E494</f>
        <v>2020</v>
      </c>
      <c r="F512" s="232">
        <f t="shared" si="249"/>
        <v>2021</v>
      </c>
      <c r="G512" s="129">
        <f t="shared" si="249"/>
        <v>2022</v>
      </c>
      <c r="H512" s="129">
        <f t="shared" si="249"/>
        <v>2023</v>
      </c>
      <c r="I512" s="129">
        <f t="shared" si="249"/>
        <v>2024</v>
      </c>
      <c r="J512" s="129">
        <f t="shared" si="249"/>
        <v>2025</v>
      </c>
      <c r="K512" s="129">
        <f t="shared" si="249"/>
        <v>2026</v>
      </c>
      <c r="L512" s="129">
        <f t="shared" si="249"/>
        <v>2027</v>
      </c>
      <c r="M512" s="129">
        <f t="shared" si="249"/>
        <v>2028</v>
      </c>
      <c r="N512" s="129">
        <f t="shared" si="249"/>
        <v>2029</v>
      </c>
      <c r="O512" s="129">
        <f t="shared" si="249"/>
        <v>2030</v>
      </c>
      <c r="P512" s="232"/>
    </row>
    <row r="513" spans="1:15" x14ac:dyDescent="0.6">
      <c r="A513" s="77" t="s">
        <v>330</v>
      </c>
      <c r="B513" s="141">
        <f>B237</f>
        <v>0</v>
      </c>
      <c r="C513" s="141">
        <f>C237</f>
        <v>0</v>
      </c>
      <c r="D513" s="141">
        <f>('Revenue and Expenses breakdown'!C7+'Revenue and Expenses breakdown'!C31)</f>
        <v>612.1</v>
      </c>
      <c r="E513" s="141">
        <f>('Revenue and Expenses breakdown'!D7+'Revenue and Expenses breakdown'!D31)</f>
        <v>737.1</v>
      </c>
      <c r="F513" s="141">
        <f>('Revenue and Expenses breakdown'!E7+'Revenue and Expenses breakdown'!E31)</f>
        <v>1696.9561700000002</v>
      </c>
      <c r="G513" s="141">
        <f>('Revenue and Expenses breakdown'!F7+'Revenue and Expenses breakdown'!F31)</f>
        <v>4790.1710000000003</v>
      </c>
      <c r="H513" s="141">
        <f>('Revenue and Expenses breakdown'!G7+'Revenue and Expenses breakdown'!G31)</f>
        <v>8028</v>
      </c>
      <c r="I513" s="141">
        <f>('Revenue and Expenses breakdown'!H7+'Revenue and Expenses breakdown'!H31)</f>
        <v>11957.660811218131</v>
      </c>
      <c r="J513" s="141">
        <f>('Revenue and Expenses breakdown'!I7+'Revenue and Expenses breakdown'!I31)</f>
        <v>15243.865667997801</v>
      </c>
      <c r="K513" s="141">
        <f>('Revenue and Expenses breakdown'!J7+'Revenue and Expenses breakdown'!J31)</f>
        <v>18710.883180114535</v>
      </c>
      <c r="L513" s="141">
        <f>('Revenue and Expenses breakdown'!K7+'Revenue and Expenses breakdown'!K31)</f>
        <v>21834.967731681201</v>
      </c>
      <c r="M513" s="141">
        <f>('Revenue and Expenses breakdown'!L7+'Revenue and Expenses breakdown'!L31)</f>
        <v>24595.326169498534</v>
      </c>
      <c r="N513" s="141">
        <f>('Revenue and Expenses breakdown'!M7+'Revenue and Expenses breakdown'!M31)</f>
        <v>27227.728042218161</v>
      </c>
      <c r="O513" s="141">
        <f>('Revenue and Expenses breakdown'!N7+'Revenue and Expenses breakdown'!N31)</f>
        <v>30428.892243091002</v>
      </c>
    </row>
    <row r="514" spans="1:15" x14ac:dyDescent="0.6">
      <c r="A514" s="79" t="s">
        <v>316</v>
      </c>
      <c r="B514" s="143">
        <f>B260</f>
        <v>0</v>
      </c>
      <c r="C514" s="143">
        <f>C260</f>
        <v>0</v>
      </c>
      <c r="D514" s="143">
        <f>'Revenue and Expenses breakdown'!C48</f>
        <v>0</v>
      </c>
      <c r="E514" s="143">
        <f>'Revenue and Expenses breakdown'!D48</f>
        <v>0</v>
      </c>
      <c r="F514" s="143">
        <f>'Revenue and Expenses breakdown'!E48</f>
        <v>0</v>
      </c>
      <c r="G514" s="143">
        <f>'Revenue and Expenses breakdown'!F48</f>
        <v>23.948651162790693</v>
      </c>
      <c r="H514" s="143">
        <f>'Revenue and Expenses breakdown'!G48</f>
        <v>47.343967935871746</v>
      </c>
      <c r="I514" s="143">
        <f>'Revenue and Expenses breakdown'!H48</f>
        <v>71.435000000000002</v>
      </c>
      <c r="J514" s="143">
        <f>'Revenue and Expenses breakdown'!I48</f>
        <v>99.697841726618719</v>
      </c>
      <c r="K514" s="143">
        <f>'Revenue and Expenses breakdown'!J48</f>
        <v>134.71834532374098</v>
      </c>
      <c r="L514" s="143">
        <f>'Revenue and Expenses breakdown'!K48</f>
        <v>175.92086330935248</v>
      </c>
      <c r="M514" s="143">
        <f>'Revenue and Expenses breakdown'!L48</f>
        <v>201.21942446043167</v>
      </c>
      <c r="N514" s="143">
        <f>'Revenue and Expenses breakdown'!M48</f>
        <v>224.06294964028777</v>
      </c>
      <c r="O514" s="143">
        <f>'Revenue and Expenses breakdown'!N48</f>
        <v>246.02967625899282</v>
      </c>
    </row>
    <row r="515" spans="1:15" x14ac:dyDescent="0.6">
      <c r="A515" s="77" t="s">
        <v>317</v>
      </c>
      <c r="B515" s="141">
        <f>B239</f>
        <v>0</v>
      </c>
      <c r="C515" s="141">
        <f>C239</f>
        <v>0</v>
      </c>
      <c r="D515" s="141">
        <f>'Revenue and Expenses breakdown'!C54</f>
        <v>0</v>
      </c>
      <c r="E515" s="141">
        <f>'Revenue and Expenses breakdown'!D54</f>
        <v>0</v>
      </c>
      <c r="F515" s="141">
        <f>'Revenue and Expenses breakdown'!E54</f>
        <v>0</v>
      </c>
      <c r="G515" s="141">
        <f>'Revenue and Expenses breakdown'!F54</f>
        <v>25.704000000000004</v>
      </c>
      <c r="H515" s="141">
        <f>'Revenue and Expenses breakdown'!G54</f>
        <v>43.68</v>
      </c>
      <c r="I515" s="141">
        <f>'Revenue and Expenses breakdown'!H54</f>
        <v>65.94</v>
      </c>
      <c r="J515" s="141">
        <f>'Revenue and Expenses breakdown'!I54</f>
        <v>89.543999999999983</v>
      </c>
      <c r="K515" s="141">
        <f>'Revenue and Expenses breakdown'!J54</f>
        <v>113.49</v>
      </c>
      <c r="L515" s="141">
        <f>'Revenue and Expenses breakdown'!K54</f>
        <v>149.226</v>
      </c>
      <c r="M515" s="141">
        <f>'Revenue and Expenses breakdown'!L54</f>
        <v>188.67000000000002</v>
      </c>
      <c r="N515" s="141">
        <f>'Revenue and Expenses breakdown'!M54</f>
        <v>229.99200000000005</v>
      </c>
      <c r="O515" s="141">
        <f>'Revenue and Expenses breakdown'!N54</f>
        <v>274.28650000000005</v>
      </c>
    </row>
    <row r="516" spans="1:15" x14ac:dyDescent="0.6">
      <c r="A516" s="79" t="s">
        <v>318</v>
      </c>
      <c r="B516" s="143">
        <f>B262</f>
        <v>0</v>
      </c>
      <c r="C516" s="143">
        <f>C262</f>
        <v>0</v>
      </c>
      <c r="D516" s="143">
        <f>'Revenue and Expenses breakdown'!C59</f>
        <v>0</v>
      </c>
      <c r="E516" s="143">
        <f>'Revenue and Expenses breakdown'!D59</f>
        <v>0</v>
      </c>
      <c r="F516" s="143">
        <f>'Revenue and Expenses breakdown'!E59</f>
        <v>0</v>
      </c>
      <c r="G516" s="143">
        <f>'Revenue and Expenses breakdown'!F59</f>
        <v>35.581395348837212</v>
      </c>
      <c r="H516" s="143">
        <f>'Revenue and Expenses breakdown'!G59</f>
        <v>46.893787575150292</v>
      </c>
      <c r="I516" s="143">
        <f>'Revenue and Expenses breakdown'!H59</f>
        <v>58.613333333333337</v>
      </c>
      <c r="J516" s="143">
        <f>'Revenue and Expenses breakdown'!I59</f>
        <v>71.705755395683454</v>
      </c>
      <c r="K516" s="143">
        <f>'Revenue and Expenses breakdown'!J59</f>
        <v>86.671942446043175</v>
      </c>
      <c r="L516" s="143">
        <f>'Revenue and Expenses breakdown'!K59</f>
        <v>102.84604316546765</v>
      </c>
      <c r="M516" s="143">
        <f>'Revenue and Expenses breakdown'!L59</f>
        <v>119.06474820143889</v>
      </c>
      <c r="N516" s="143">
        <f>'Revenue and Expenses breakdown'!M59</f>
        <v>134.4377697841727</v>
      </c>
      <c r="O516" s="143">
        <f>'Revenue and Expenses breakdown'!N59</f>
        <v>149.88884892086335</v>
      </c>
    </row>
    <row r="518" spans="1:15" x14ac:dyDescent="0.6">
      <c r="A518" t="s">
        <v>331</v>
      </c>
      <c r="D518" s="86">
        <f>SUM(D513:D516)</f>
        <v>612.1</v>
      </c>
      <c r="E518" s="86">
        <f t="shared" ref="E518:O518" si="250">SUM(E513:E516)</f>
        <v>737.1</v>
      </c>
      <c r="F518" s="86">
        <f t="shared" si="250"/>
        <v>1696.9561700000002</v>
      </c>
      <c r="G518" s="86">
        <f t="shared" si="250"/>
        <v>4875.4050465116279</v>
      </c>
      <c r="H518" s="86">
        <f t="shared" si="250"/>
        <v>8165.9177555110218</v>
      </c>
      <c r="I518" s="86">
        <f t="shared" si="250"/>
        <v>12153.649144551464</v>
      </c>
      <c r="J518" s="86">
        <f t="shared" si="250"/>
        <v>15504.813265120103</v>
      </c>
      <c r="K518" s="86">
        <f t="shared" si="250"/>
        <v>19045.763467884321</v>
      </c>
      <c r="L518" s="86">
        <f t="shared" si="250"/>
        <v>22262.960638156019</v>
      </c>
      <c r="M518" s="86">
        <f t="shared" si="250"/>
        <v>25104.280342160404</v>
      </c>
      <c r="N518" s="86">
        <f t="shared" si="250"/>
        <v>27816.22076164262</v>
      </c>
      <c r="O518" s="86">
        <f t="shared" si="250"/>
        <v>31099.097268270856</v>
      </c>
    </row>
    <row r="520" spans="1:15" x14ac:dyDescent="0.6">
      <c r="A520" s="191"/>
      <c r="B520" s="129">
        <f>B486</f>
        <v>0</v>
      </c>
      <c r="C520" s="129">
        <f>C486</f>
        <v>0</v>
      </c>
      <c r="D520" s="129">
        <f>D512</f>
        <v>2019</v>
      </c>
      <c r="E520" s="232">
        <f t="shared" ref="E520:O520" si="251">E512</f>
        <v>2020</v>
      </c>
      <c r="F520" s="232">
        <f t="shared" si="251"/>
        <v>2021</v>
      </c>
      <c r="G520" s="129">
        <f t="shared" si="251"/>
        <v>2022</v>
      </c>
      <c r="H520" s="129">
        <f t="shared" si="251"/>
        <v>2023</v>
      </c>
      <c r="I520" s="129">
        <f t="shared" si="251"/>
        <v>2024</v>
      </c>
      <c r="J520" s="129">
        <f t="shared" si="251"/>
        <v>2025</v>
      </c>
      <c r="K520" s="129">
        <f t="shared" si="251"/>
        <v>2026</v>
      </c>
      <c r="L520" s="129">
        <f t="shared" si="251"/>
        <v>2027</v>
      </c>
      <c r="M520" s="129">
        <f t="shared" si="251"/>
        <v>2028</v>
      </c>
      <c r="N520" s="129">
        <f t="shared" si="251"/>
        <v>2029</v>
      </c>
      <c r="O520" s="129">
        <f t="shared" si="251"/>
        <v>2030</v>
      </c>
    </row>
    <row r="521" spans="1:15" x14ac:dyDescent="0.6">
      <c r="A521" s="77" t="s">
        <v>330</v>
      </c>
      <c r="B521" s="141">
        <f>B246</f>
        <v>0</v>
      </c>
      <c r="C521" s="141">
        <f>C246</f>
        <v>0</v>
      </c>
      <c r="D521" s="214">
        <f>D513/D$518</f>
        <v>1</v>
      </c>
      <c r="E521" s="137">
        <f t="shared" ref="E521:O521" si="252">E513/E$518</f>
        <v>1</v>
      </c>
      <c r="F521" s="137">
        <f>F513/F$518</f>
        <v>1</v>
      </c>
      <c r="G521" s="214">
        <f t="shared" si="252"/>
        <v>0.9825175455785744</v>
      </c>
      <c r="H521" s="214">
        <f t="shared" si="252"/>
        <v>0.98311056275114406</v>
      </c>
      <c r="I521" s="214">
        <f t="shared" si="252"/>
        <v>0.98387411624259413</v>
      </c>
      <c r="J521" s="214">
        <f t="shared" si="252"/>
        <v>0.98316989745956285</v>
      </c>
      <c r="K521" s="214">
        <f t="shared" si="252"/>
        <v>0.98241707199953032</v>
      </c>
      <c r="L521" s="214">
        <f t="shared" si="252"/>
        <v>0.98077556200044258</v>
      </c>
      <c r="M521" s="214">
        <f t="shared" si="252"/>
        <v>0.97972639861708655</v>
      </c>
      <c r="N521" s="214">
        <f t="shared" si="252"/>
        <v>0.9788435415268214</v>
      </c>
      <c r="O521" s="214">
        <f t="shared" si="252"/>
        <v>0.97844937364585061</v>
      </c>
    </row>
    <row r="522" spans="1:15" x14ac:dyDescent="0.6">
      <c r="A522" s="79" t="s">
        <v>316</v>
      </c>
      <c r="B522" s="143">
        <f>B269</f>
        <v>0</v>
      </c>
      <c r="C522" s="143">
        <f>C269</f>
        <v>0</v>
      </c>
      <c r="D522" s="215">
        <f t="shared" ref="D522:O522" si="253">D514/D$518</f>
        <v>0</v>
      </c>
      <c r="E522" s="138">
        <f t="shared" si="253"/>
        <v>0</v>
      </c>
      <c r="F522" s="138">
        <f t="shared" si="253"/>
        <v>0</v>
      </c>
      <c r="G522" s="215">
        <f t="shared" si="253"/>
        <v>4.9121356962794401E-3</v>
      </c>
      <c r="H522" s="215">
        <f t="shared" si="253"/>
        <v>5.7977522372081453E-3</v>
      </c>
      <c r="I522" s="215">
        <f t="shared" si="253"/>
        <v>5.8776585657834826E-3</v>
      </c>
      <c r="J522" s="215">
        <f t="shared" si="253"/>
        <v>6.4301220544784451E-3</v>
      </c>
      <c r="K522" s="215">
        <f t="shared" si="253"/>
        <v>7.0734022057403001E-3</v>
      </c>
      <c r="L522" s="215">
        <f t="shared" si="253"/>
        <v>7.9019527621966602E-3</v>
      </c>
      <c r="M522" s="215">
        <f t="shared" si="253"/>
        <v>8.015343268872821E-3</v>
      </c>
      <c r="N522" s="215">
        <f t="shared" si="253"/>
        <v>8.0551183268311195E-3</v>
      </c>
      <c r="O522" s="215">
        <f t="shared" si="253"/>
        <v>7.9111517011783775E-3</v>
      </c>
    </row>
    <row r="523" spans="1:15" x14ac:dyDescent="0.6">
      <c r="A523" s="77" t="s">
        <v>317</v>
      </c>
      <c r="B523" s="141">
        <f>B248</f>
        <v>0</v>
      </c>
      <c r="C523" s="141">
        <f>C248</f>
        <v>0</v>
      </c>
      <c r="D523" s="214">
        <f t="shared" ref="D523:O523" si="254">D515/D$518</f>
        <v>0</v>
      </c>
      <c r="E523" s="137">
        <f t="shared" si="254"/>
        <v>0</v>
      </c>
      <c r="F523" s="137">
        <f t="shared" si="254"/>
        <v>0</v>
      </c>
      <c r="G523" s="214">
        <f t="shared" si="254"/>
        <v>5.2721773380431892E-3</v>
      </c>
      <c r="H523" s="214">
        <f t="shared" si="254"/>
        <v>5.3490619557760308E-3</v>
      </c>
      <c r="I523" s="214">
        <f t="shared" si="254"/>
        <v>5.4255309838001373E-3</v>
      </c>
      <c r="J523" s="214">
        <f t="shared" si="254"/>
        <v>5.7752388544684841E-3</v>
      </c>
      <c r="K523" s="214">
        <f t="shared" si="254"/>
        <v>5.9588054945327387E-3</v>
      </c>
      <c r="L523" s="214">
        <f t="shared" si="254"/>
        <v>6.7028820840766661E-3</v>
      </c>
      <c r="M523" s="214">
        <f t="shared" si="254"/>
        <v>7.5154514460685634E-3</v>
      </c>
      <c r="N523" s="214">
        <f t="shared" si="254"/>
        <v>8.2682691502488064E-3</v>
      </c>
      <c r="O523" s="214">
        <f t="shared" si="254"/>
        <v>8.8197576165608971E-3</v>
      </c>
    </row>
    <row r="524" spans="1:15" x14ac:dyDescent="0.6">
      <c r="A524" s="79" t="s">
        <v>318</v>
      </c>
      <c r="B524" s="143">
        <f>B271</f>
        <v>0</v>
      </c>
      <c r="C524" s="143">
        <f>C271</f>
        <v>0</v>
      </c>
      <c r="D524" s="215">
        <f t="shared" ref="D524:O524" si="255">D516/D$518</f>
        <v>0</v>
      </c>
      <c r="E524" s="138">
        <f t="shared" si="255"/>
        <v>0</v>
      </c>
      <c r="F524" s="138">
        <f t="shared" si="255"/>
        <v>0</v>
      </c>
      <c r="G524" s="215">
        <f t="shared" si="255"/>
        <v>7.298141387102974E-3</v>
      </c>
      <c r="H524" s="215">
        <f t="shared" si="255"/>
        <v>5.7426230558717747E-3</v>
      </c>
      <c r="I524" s="215">
        <f t="shared" si="255"/>
        <v>4.8226942078223442E-3</v>
      </c>
      <c r="J524" s="215">
        <f t="shared" si="255"/>
        <v>4.6247416314902654E-3</v>
      </c>
      <c r="K524" s="215">
        <f t="shared" si="255"/>
        <v>4.550720300196558E-3</v>
      </c>
      <c r="L524" s="215">
        <f t="shared" si="255"/>
        <v>4.6196031532842038E-3</v>
      </c>
      <c r="M524" s="215">
        <f t="shared" si="255"/>
        <v>4.7428066679720843E-3</v>
      </c>
      <c r="N524" s="215">
        <f t="shared" si="255"/>
        <v>4.8330709960986732E-3</v>
      </c>
      <c r="O524" s="215">
        <f t="shared" si="255"/>
        <v>4.8197170364102128E-3</v>
      </c>
    </row>
    <row r="526" spans="1:15" x14ac:dyDescent="0.6">
      <c r="A526" s="191"/>
      <c r="B526" s="129">
        <f>B492</f>
        <v>0</v>
      </c>
      <c r="C526" s="129">
        <f>C492</f>
        <v>0</v>
      </c>
      <c r="D526" s="129">
        <f>D512</f>
        <v>2019</v>
      </c>
      <c r="E526" s="232">
        <f t="shared" ref="E526:O526" si="256">E512</f>
        <v>2020</v>
      </c>
      <c r="F526" s="232">
        <f t="shared" si="256"/>
        <v>2021</v>
      </c>
      <c r="G526" s="129">
        <f t="shared" si="256"/>
        <v>2022</v>
      </c>
      <c r="H526" s="129">
        <f t="shared" si="256"/>
        <v>2023</v>
      </c>
      <c r="I526" s="129">
        <f t="shared" si="256"/>
        <v>2024</v>
      </c>
      <c r="J526" s="129">
        <f t="shared" si="256"/>
        <v>2025</v>
      </c>
      <c r="K526" s="129">
        <f t="shared" si="256"/>
        <v>2026</v>
      </c>
      <c r="L526" s="129">
        <f t="shared" si="256"/>
        <v>2027</v>
      </c>
      <c r="M526" s="129">
        <f t="shared" si="256"/>
        <v>2028</v>
      </c>
      <c r="N526" s="129">
        <f t="shared" si="256"/>
        <v>2029</v>
      </c>
      <c r="O526" s="129">
        <f t="shared" si="256"/>
        <v>2030</v>
      </c>
    </row>
    <row r="527" spans="1:15" x14ac:dyDescent="0.6">
      <c r="A527" s="77" t="s">
        <v>330</v>
      </c>
      <c r="B527" s="141">
        <f>B252</f>
        <v>0</v>
      </c>
      <c r="C527" s="141">
        <f>C252</f>
        <v>0</v>
      </c>
      <c r="D527" s="214">
        <f>D521</f>
        <v>1</v>
      </c>
      <c r="E527" s="137">
        <f t="shared" ref="E527:O527" si="257">E521</f>
        <v>1</v>
      </c>
      <c r="F527" s="137">
        <f t="shared" si="257"/>
        <v>1</v>
      </c>
      <c r="G527" s="214">
        <f t="shared" si="257"/>
        <v>0.9825175455785744</v>
      </c>
      <c r="H527" s="214">
        <f t="shared" si="257"/>
        <v>0.98311056275114406</v>
      </c>
      <c r="I527" s="214">
        <f t="shared" si="257"/>
        <v>0.98387411624259413</v>
      </c>
      <c r="J527" s="214">
        <f t="shared" si="257"/>
        <v>0.98316989745956285</v>
      </c>
      <c r="K527" s="214">
        <f t="shared" si="257"/>
        <v>0.98241707199953032</v>
      </c>
      <c r="L527" s="214">
        <f t="shared" si="257"/>
        <v>0.98077556200044258</v>
      </c>
      <c r="M527" s="214">
        <f t="shared" si="257"/>
        <v>0.97972639861708655</v>
      </c>
      <c r="N527" s="214">
        <f t="shared" si="257"/>
        <v>0.9788435415268214</v>
      </c>
      <c r="O527" s="214">
        <f t="shared" si="257"/>
        <v>0.97844937364585061</v>
      </c>
    </row>
    <row r="528" spans="1:15" x14ac:dyDescent="0.6">
      <c r="A528" s="79" t="s">
        <v>332</v>
      </c>
      <c r="B528" s="143">
        <f>B275</f>
        <v>0</v>
      </c>
      <c r="C528" s="143">
        <f>C275</f>
        <v>2956.43</v>
      </c>
      <c r="D528" s="215">
        <f>SUM(D522:D524)</f>
        <v>0</v>
      </c>
      <c r="E528" s="138">
        <f t="shared" ref="E528:O528" si="258">SUM(E522:E524)</f>
        <v>0</v>
      </c>
      <c r="F528" s="138">
        <f t="shared" si="258"/>
        <v>0</v>
      </c>
      <c r="G528" s="215">
        <f t="shared" si="258"/>
        <v>1.7482454421425604E-2</v>
      </c>
      <c r="H528" s="215">
        <f t="shared" si="258"/>
        <v>1.688943724885595E-2</v>
      </c>
      <c r="I528" s="215">
        <f t="shared" si="258"/>
        <v>1.6125883757405965E-2</v>
      </c>
      <c r="J528" s="215">
        <f t="shared" si="258"/>
        <v>1.6830102540437195E-2</v>
      </c>
      <c r="K528" s="215">
        <f t="shared" si="258"/>
        <v>1.7582928000469594E-2</v>
      </c>
      <c r="L528" s="215">
        <f t="shared" si="258"/>
        <v>1.9224437999557531E-2</v>
      </c>
      <c r="M528" s="215">
        <f t="shared" si="258"/>
        <v>2.0273601382913467E-2</v>
      </c>
      <c r="N528" s="215">
        <f t="shared" si="258"/>
        <v>2.11564584731786E-2</v>
      </c>
      <c r="O528" s="215">
        <f t="shared" si="258"/>
        <v>2.1550626354149487E-2</v>
      </c>
    </row>
  </sheetData>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5B938-68CD-4708-B028-BF95A37CE3ED}">
  <dimension ref="A2:M1031"/>
  <sheetViews>
    <sheetView topLeftCell="A985" zoomScale="76" zoomScaleNormal="85" workbookViewId="0">
      <selection activeCell="B1027" sqref="B1027"/>
    </sheetView>
  </sheetViews>
  <sheetFormatPr defaultRowHeight="15.6" x14ac:dyDescent="0.6"/>
  <cols>
    <col min="2" max="2" width="32.5" customWidth="1"/>
    <col min="3" max="3" width="24.44921875" customWidth="1"/>
    <col min="4" max="4" width="10.59765625" bestFit="1" customWidth="1"/>
  </cols>
  <sheetData>
    <row r="2" spans="2:7" x14ac:dyDescent="0.6">
      <c r="B2" s="235" t="s">
        <v>487</v>
      </c>
      <c r="C2" s="235">
        <v>2026</v>
      </c>
    </row>
    <row r="3" spans="2:7" x14ac:dyDescent="0.6">
      <c r="B3" t="s">
        <v>486</v>
      </c>
      <c r="C3">
        <v>30</v>
      </c>
      <c r="D3" s="85">
        <f>C3/5.6</f>
        <v>5.3571428571428577</v>
      </c>
    </row>
    <row r="4" spans="2:7" x14ac:dyDescent="0.6">
      <c r="B4" t="s">
        <v>485</v>
      </c>
      <c r="C4">
        <v>12</v>
      </c>
    </row>
    <row r="6" spans="2:7" x14ac:dyDescent="0.6">
      <c r="B6" t="s">
        <v>487</v>
      </c>
      <c r="C6" t="s">
        <v>488</v>
      </c>
    </row>
    <row r="8" spans="2:7" x14ac:dyDescent="0.6">
      <c r="B8" t="s">
        <v>489</v>
      </c>
      <c r="C8">
        <v>1500</v>
      </c>
    </row>
    <row r="9" spans="2:7" x14ac:dyDescent="0.6">
      <c r="B9" t="s">
        <v>490</v>
      </c>
      <c r="C9">
        <v>143</v>
      </c>
    </row>
    <row r="11" spans="2:7" x14ac:dyDescent="0.6">
      <c r="B11" t="s">
        <v>493</v>
      </c>
      <c r="D11">
        <v>27</v>
      </c>
      <c r="E11" s="85">
        <f>D11/5.6</f>
        <v>4.8214285714285721</v>
      </c>
    </row>
    <row r="12" spans="2:7" x14ac:dyDescent="0.6">
      <c r="B12" t="s">
        <v>496</v>
      </c>
      <c r="D12">
        <v>8</v>
      </c>
      <c r="E12" s="85">
        <f>D12/5.6</f>
        <v>1.4285714285714286</v>
      </c>
    </row>
    <row r="13" spans="2:7" x14ac:dyDescent="0.6">
      <c r="B13" t="s">
        <v>495</v>
      </c>
      <c r="D13" s="85">
        <f>D11/D12</f>
        <v>3.375</v>
      </c>
    </row>
    <row r="15" spans="2:7" x14ac:dyDescent="0.6">
      <c r="B15" t="s">
        <v>497</v>
      </c>
      <c r="E15" s="234">
        <v>0.09</v>
      </c>
      <c r="G15" t="s">
        <v>500</v>
      </c>
    </row>
    <row r="16" spans="2:7" x14ac:dyDescent="0.6">
      <c r="B16" t="s">
        <v>498</v>
      </c>
      <c r="E16" s="19" t="s">
        <v>499</v>
      </c>
    </row>
    <row r="18" spans="2:9" x14ac:dyDescent="0.6">
      <c r="B18" t="s">
        <v>132</v>
      </c>
      <c r="E18" s="234">
        <v>1.44</v>
      </c>
      <c r="G18" t="s">
        <v>501</v>
      </c>
      <c r="I18" t="s">
        <v>504</v>
      </c>
    </row>
    <row r="19" spans="2:9" x14ac:dyDescent="0.6">
      <c r="B19" t="s">
        <v>487</v>
      </c>
      <c r="E19" s="234">
        <v>0.14000000000000001</v>
      </c>
      <c r="G19" t="s">
        <v>501</v>
      </c>
    </row>
    <row r="21" spans="2:9" x14ac:dyDescent="0.6">
      <c r="B21" t="s">
        <v>502</v>
      </c>
    </row>
    <row r="22" spans="2:9" x14ac:dyDescent="0.6">
      <c r="B22" t="s">
        <v>503</v>
      </c>
    </row>
    <row r="24" spans="2:9" x14ac:dyDescent="0.6">
      <c r="B24" t="s">
        <v>505</v>
      </c>
      <c r="E24" t="s">
        <v>506</v>
      </c>
    </row>
    <row r="25" spans="2:9" x14ac:dyDescent="0.6">
      <c r="B25" t="s">
        <v>494</v>
      </c>
      <c r="E25" t="s">
        <v>507</v>
      </c>
    </row>
    <row r="26" spans="2:9" x14ac:dyDescent="0.6">
      <c r="C26" t="s">
        <v>508</v>
      </c>
    </row>
    <row r="27" spans="2:9" x14ac:dyDescent="0.6">
      <c r="C27" t="s">
        <v>509</v>
      </c>
    </row>
    <row r="28" spans="2:9" x14ac:dyDescent="0.6">
      <c r="B28" t="s">
        <v>510</v>
      </c>
    </row>
    <row r="29" spans="2:9" x14ac:dyDescent="0.6">
      <c r="D29" s="333" t="s">
        <v>513</v>
      </c>
      <c r="E29" s="333" t="s">
        <v>553</v>
      </c>
      <c r="H29" s="333" t="s">
        <v>589</v>
      </c>
    </row>
    <row r="30" spans="2:9" x14ac:dyDescent="0.6">
      <c r="B30" s="235" t="s">
        <v>156</v>
      </c>
      <c r="C30" s="235"/>
      <c r="D30" s="235">
        <v>2025</v>
      </c>
      <c r="E30" s="235">
        <v>2025</v>
      </c>
      <c r="F30" s="334" t="s">
        <v>554</v>
      </c>
      <c r="H30" s="84"/>
    </row>
    <row r="31" spans="2:9" x14ac:dyDescent="0.6">
      <c r="B31" t="s">
        <v>547</v>
      </c>
      <c r="D31">
        <v>46</v>
      </c>
      <c r="E31" s="83">
        <f>SUM(E32:E35)</f>
        <v>24.610966651964809</v>
      </c>
      <c r="F31" s="234">
        <f>E31/D31-1</f>
        <v>-0.46497898582685193</v>
      </c>
      <c r="H31">
        <v>25</v>
      </c>
    </row>
    <row r="32" spans="2:9" x14ac:dyDescent="0.6">
      <c r="B32" t="str">
        <f>B44</f>
        <v xml:space="preserve"> Credit cards</v>
      </c>
      <c r="D32">
        <f>D44</f>
        <v>26</v>
      </c>
      <c r="E32" s="83">
        <f>Master!J193/1000</f>
        <v>17.490813710703275</v>
      </c>
    </row>
    <row r="33" spans="2:8" x14ac:dyDescent="0.6">
      <c r="B33" t="str">
        <f>B45</f>
        <v xml:space="preserve"> Personal loans</v>
      </c>
      <c r="D33">
        <f>D45</f>
        <v>13</v>
      </c>
      <c r="E33" s="83">
        <f>Master!J194/1000</f>
        <v>7.1201529412615354</v>
      </c>
    </row>
    <row r="34" spans="2:8" x14ac:dyDescent="0.6">
      <c r="B34" t="str">
        <f>B46</f>
        <v xml:space="preserve"> SME</v>
      </c>
      <c r="D34">
        <f>D46</f>
        <v>4</v>
      </c>
      <c r="E34">
        <v>0</v>
      </c>
    </row>
    <row r="35" spans="2:8" x14ac:dyDescent="0.6">
      <c r="B35" t="str">
        <f>B47</f>
        <v xml:space="preserve"> BNPL</v>
      </c>
      <c r="D35">
        <f>D47</f>
        <v>2</v>
      </c>
      <c r="E35">
        <v>0</v>
      </c>
    </row>
    <row r="37" spans="2:8" x14ac:dyDescent="0.6">
      <c r="B37" t="s">
        <v>47</v>
      </c>
      <c r="D37">
        <v>28</v>
      </c>
      <c r="E37" s="83">
        <f>Master!J212/1000</f>
        <v>39.152939764909092</v>
      </c>
      <c r="H37">
        <v>28</v>
      </c>
    </row>
    <row r="38" spans="2:8" x14ac:dyDescent="0.6">
      <c r="B38" t="s">
        <v>577</v>
      </c>
      <c r="D38" s="348">
        <f>D31/D37</f>
        <v>1.6428571428571428</v>
      </c>
      <c r="E38" s="348">
        <f>E31/E37</f>
        <v>0.62858540890516834</v>
      </c>
    </row>
    <row r="40" spans="2:8" x14ac:dyDescent="0.6">
      <c r="B40" t="s">
        <v>546</v>
      </c>
      <c r="D40">
        <v>180</v>
      </c>
      <c r="E40" s="83">
        <f>Drivers!O210</f>
        <v>323.11146008215059</v>
      </c>
      <c r="H40">
        <v>165</v>
      </c>
    </row>
    <row r="42" spans="2:8" x14ac:dyDescent="0.6">
      <c r="B42" t="s">
        <v>552</v>
      </c>
      <c r="D42">
        <v>5000</v>
      </c>
      <c r="E42" s="83">
        <f>Master!O62</f>
        <v>7617.3169950807678</v>
      </c>
      <c r="F42" s="234">
        <f>E42/D42-1</f>
        <v>0.52346339901615346</v>
      </c>
      <c r="H42">
        <v>3000</v>
      </c>
    </row>
    <row r="44" spans="2:8" x14ac:dyDescent="0.6">
      <c r="B44" s="237" t="s">
        <v>548</v>
      </c>
      <c r="D44">
        <v>26</v>
      </c>
    </row>
    <row r="45" spans="2:8" x14ac:dyDescent="0.6">
      <c r="B45" s="237" t="s">
        <v>549</v>
      </c>
      <c r="D45">
        <v>13</v>
      </c>
    </row>
    <row r="46" spans="2:8" x14ac:dyDescent="0.6">
      <c r="B46" s="237" t="s">
        <v>550</v>
      </c>
      <c r="D46">
        <v>4</v>
      </c>
    </row>
    <row r="47" spans="2:8" x14ac:dyDescent="0.6">
      <c r="B47" s="252" t="s">
        <v>551</v>
      </c>
      <c r="C47" s="84"/>
      <c r="D47" s="84">
        <v>2</v>
      </c>
    </row>
    <row r="48" spans="2:8" x14ac:dyDescent="0.6">
      <c r="B48" t="s">
        <v>512</v>
      </c>
      <c r="D48">
        <f>SUM(D44:D47)</f>
        <v>45</v>
      </c>
    </row>
    <row r="50" spans="1:7" x14ac:dyDescent="0.6">
      <c r="B50" s="20" t="s">
        <v>511</v>
      </c>
    </row>
    <row r="51" spans="1:7" x14ac:dyDescent="0.6">
      <c r="B51" t="s">
        <v>132</v>
      </c>
      <c r="D51" s="19" t="s">
        <v>514</v>
      </c>
    </row>
    <row r="52" spans="1:7" x14ac:dyDescent="0.6">
      <c r="B52" t="s">
        <v>516</v>
      </c>
      <c r="D52" s="19"/>
    </row>
    <row r="53" spans="1:7" x14ac:dyDescent="0.6">
      <c r="B53" t="s">
        <v>515</v>
      </c>
      <c r="D53" s="234">
        <v>0.4</v>
      </c>
    </row>
    <row r="55" spans="1:7" x14ac:dyDescent="0.6">
      <c r="B55" t="s">
        <v>517</v>
      </c>
      <c r="D55" s="234">
        <v>0.44</v>
      </c>
    </row>
    <row r="56" spans="1:7" x14ac:dyDescent="0.6">
      <c r="B56" t="s">
        <v>518</v>
      </c>
      <c r="F56" s="234">
        <v>0.51</v>
      </c>
    </row>
    <row r="57" spans="1:7" x14ac:dyDescent="0.6">
      <c r="B57" t="s">
        <v>519</v>
      </c>
      <c r="F57" s="234">
        <v>0.45</v>
      </c>
    </row>
    <row r="59" spans="1:7" x14ac:dyDescent="0.6">
      <c r="B59" t="s">
        <v>521</v>
      </c>
      <c r="F59" s="234">
        <v>0.25</v>
      </c>
      <c r="G59" t="s">
        <v>522</v>
      </c>
    </row>
    <row r="60" spans="1:7" x14ac:dyDescent="0.6">
      <c r="B60" t="s">
        <v>520</v>
      </c>
    </row>
    <row r="62" spans="1:7" x14ac:dyDescent="0.6">
      <c r="B62" t="s">
        <v>523</v>
      </c>
    </row>
    <row r="63" spans="1:7" x14ac:dyDescent="0.6">
      <c r="A63" t="s">
        <v>526</v>
      </c>
      <c r="B63" s="234">
        <v>0.05</v>
      </c>
    </row>
    <row r="64" spans="1:7" x14ac:dyDescent="0.6">
      <c r="A64" t="s">
        <v>524</v>
      </c>
      <c r="B64" s="234">
        <v>0.11</v>
      </c>
    </row>
    <row r="65" spans="1:6" x14ac:dyDescent="0.6">
      <c r="A65" t="s">
        <v>525</v>
      </c>
      <c r="C65" s="234">
        <v>0.16</v>
      </c>
      <c r="D65" s="234">
        <v>0.04</v>
      </c>
    </row>
    <row r="68" spans="1:6" x14ac:dyDescent="0.6">
      <c r="B68" t="s">
        <v>537</v>
      </c>
    </row>
    <row r="71" spans="1:6" x14ac:dyDescent="0.6">
      <c r="B71" s="499" t="s">
        <v>867</v>
      </c>
    </row>
    <row r="73" spans="1:6" x14ac:dyDescent="0.6">
      <c r="B73" t="s">
        <v>879</v>
      </c>
    </row>
    <row r="74" spans="1:6" x14ac:dyDescent="0.6">
      <c r="C74" t="s">
        <v>883</v>
      </c>
    </row>
    <row r="76" spans="1:6" x14ac:dyDescent="0.6">
      <c r="B76" t="s">
        <v>561</v>
      </c>
    </row>
    <row r="77" spans="1:6" x14ac:dyDescent="0.6">
      <c r="C77" t="s">
        <v>889</v>
      </c>
    </row>
    <row r="78" spans="1:6" x14ac:dyDescent="0.6">
      <c r="C78" t="s">
        <v>884</v>
      </c>
    </row>
    <row r="79" spans="1:6" x14ac:dyDescent="0.6">
      <c r="D79" s="501">
        <v>4.2000000000000003E-2</v>
      </c>
    </row>
    <row r="80" spans="1:6" x14ac:dyDescent="0.6">
      <c r="D80" t="s">
        <v>674</v>
      </c>
      <c r="F80" s="502">
        <f>Quarts!M65</f>
        <v>0.19973033176687463</v>
      </c>
    </row>
    <row r="81" spans="2:6" x14ac:dyDescent="0.6">
      <c r="D81" t="s">
        <v>878</v>
      </c>
      <c r="F81" s="234"/>
    </row>
    <row r="82" spans="2:6" x14ac:dyDescent="0.6">
      <c r="E82" t="s">
        <v>886</v>
      </c>
      <c r="F82" s="234"/>
    </row>
    <row r="83" spans="2:6" x14ac:dyDescent="0.6">
      <c r="E83" t="s">
        <v>885</v>
      </c>
      <c r="F83" s="234"/>
    </row>
    <row r="84" spans="2:6" x14ac:dyDescent="0.6">
      <c r="B84" t="s">
        <v>47</v>
      </c>
    </row>
    <row r="85" spans="2:6" x14ac:dyDescent="0.6">
      <c r="C85" t="s">
        <v>887</v>
      </c>
    </row>
    <row r="86" spans="2:6" x14ac:dyDescent="0.6">
      <c r="C86" t="s">
        <v>547</v>
      </c>
      <c r="D86" s="86">
        <f>Quarts!M218</f>
        <v>7901</v>
      </c>
    </row>
    <row r="87" spans="2:6" x14ac:dyDescent="0.6">
      <c r="C87" t="s">
        <v>47</v>
      </c>
      <c r="D87" s="86">
        <f>Quarts!M224</f>
        <v>12596</v>
      </c>
    </row>
    <row r="88" spans="2:6" x14ac:dyDescent="0.6">
      <c r="C88" s="361" t="s">
        <v>888</v>
      </c>
    </row>
    <row r="89" spans="2:6" x14ac:dyDescent="0.6">
      <c r="C89" s="361" t="s">
        <v>874</v>
      </c>
    </row>
    <row r="90" spans="2:6" x14ac:dyDescent="0.6">
      <c r="B90" t="s">
        <v>875</v>
      </c>
      <c r="C90" s="361"/>
    </row>
    <row r="91" spans="2:6" x14ac:dyDescent="0.6">
      <c r="C91" s="361" t="s">
        <v>876</v>
      </c>
    </row>
    <row r="92" spans="2:6" x14ac:dyDescent="0.6">
      <c r="B92" t="s">
        <v>872</v>
      </c>
    </row>
    <row r="93" spans="2:6" x14ac:dyDescent="0.6">
      <c r="C93" s="361" t="s">
        <v>877</v>
      </c>
    </row>
    <row r="94" spans="2:6" x14ac:dyDescent="0.6">
      <c r="B94" t="s">
        <v>871</v>
      </c>
    </row>
    <row r="95" spans="2:6" x14ac:dyDescent="0.6">
      <c r="C95" t="s">
        <v>881</v>
      </c>
    </row>
    <row r="96" spans="2:6" x14ac:dyDescent="0.6">
      <c r="C96" t="s">
        <v>882</v>
      </c>
    </row>
    <row r="97" spans="2:6" x14ac:dyDescent="0.6">
      <c r="B97" t="s">
        <v>870</v>
      </c>
    </row>
    <row r="98" spans="2:6" x14ac:dyDescent="0.6">
      <c r="C98" t="s">
        <v>880</v>
      </c>
    </row>
    <row r="99" spans="2:6" x14ac:dyDescent="0.6">
      <c r="B99" t="s">
        <v>724</v>
      </c>
    </row>
    <row r="100" spans="2:6" x14ac:dyDescent="0.6">
      <c r="C100" t="s">
        <v>892</v>
      </c>
    </row>
    <row r="101" spans="2:6" x14ac:dyDescent="0.6">
      <c r="D101" t="s">
        <v>893</v>
      </c>
    </row>
    <row r="102" spans="2:6" x14ac:dyDescent="0.6">
      <c r="B102" t="s">
        <v>890</v>
      </c>
    </row>
    <row r="103" spans="2:6" x14ac:dyDescent="0.6">
      <c r="C103" t="s">
        <v>891</v>
      </c>
    </row>
    <row r="105" spans="2:6" x14ac:dyDescent="0.6">
      <c r="B105" t="s">
        <v>894</v>
      </c>
    </row>
    <row r="106" spans="2:6" x14ac:dyDescent="0.6">
      <c r="C106" t="s">
        <v>895</v>
      </c>
      <c r="F106" t="s">
        <v>896</v>
      </c>
    </row>
    <row r="107" spans="2:6" x14ac:dyDescent="0.6">
      <c r="C107" t="s">
        <v>897</v>
      </c>
      <c r="F107" t="s">
        <v>898</v>
      </c>
    </row>
    <row r="108" spans="2:6" x14ac:dyDescent="0.6">
      <c r="D108" t="s">
        <v>899</v>
      </c>
    </row>
    <row r="109" spans="2:6" x14ac:dyDescent="0.6">
      <c r="C109" t="s">
        <v>872</v>
      </c>
    </row>
    <row r="110" spans="2:6" x14ac:dyDescent="0.6">
      <c r="D110" t="s">
        <v>900</v>
      </c>
    </row>
    <row r="111" spans="2:6" x14ac:dyDescent="0.6">
      <c r="B111" s="411" t="s">
        <v>904</v>
      </c>
    </row>
    <row r="112" spans="2:6" x14ac:dyDescent="0.6">
      <c r="B112" t="s">
        <v>901</v>
      </c>
    </row>
    <row r="113" spans="2:13" x14ac:dyDescent="0.6">
      <c r="C113" t="s">
        <v>902</v>
      </c>
    </row>
    <row r="114" spans="2:13" x14ac:dyDescent="0.6">
      <c r="C114" t="s">
        <v>903</v>
      </c>
    </row>
    <row r="115" spans="2:13" x14ac:dyDescent="0.6">
      <c r="C115" t="s">
        <v>905</v>
      </c>
    </row>
    <row r="116" spans="2:13" x14ac:dyDescent="0.6">
      <c r="B116" t="s">
        <v>907</v>
      </c>
    </row>
    <row r="117" spans="2:13" x14ac:dyDescent="0.6">
      <c r="C117" t="s">
        <v>906</v>
      </c>
    </row>
    <row r="118" spans="2:13" x14ac:dyDescent="0.6">
      <c r="D118" t="s">
        <v>908</v>
      </c>
    </row>
    <row r="119" spans="2:13" x14ac:dyDescent="0.6">
      <c r="C119" s="503">
        <v>2019</v>
      </c>
    </row>
    <row r="120" spans="2:13" x14ac:dyDescent="0.6">
      <c r="D120" t="s">
        <v>909</v>
      </c>
    </row>
    <row r="121" spans="2:13" x14ac:dyDescent="0.6">
      <c r="D121" t="s">
        <v>218</v>
      </c>
    </row>
    <row r="122" spans="2:13" x14ac:dyDescent="0.6">
      <c r="E122" t="s">
        <v>910</v>
      </c>
    </row>
    <row r="123" spans="2:13" x14ac:dyDescent="0.6">
      <c r="E123" t="s">
        <v>911</v>
      </c>
      <c r="G123" t="s">
        <v>912</v>
      </c>
      <c r="M123" t="s">
        <v>914</v>
      </c>
    </row>
    <row r="124" spans="2:13" x14ac:dyDescent="0.6">
      <c r="G124" t="s">
        <v>913</v>
      </c>
    </row>
    <row r="125" spans="2:13" x14ac:dyDescent="0.6">
      <c r="C125" t="s">
        <v>915</v>
      </c>
    </row>
    <row r="126" spans="2:13" x14ac:dyDescent="0.6">
      <c r="B126" s="411" t="s">
        <v>521</v>
      </c>
    </row>
    <row r="127" spans="2:13" x14ac:dyDescent="0.6">
      <c r="C127" t="s">
        <v>916</v>
      </c>
    </row>
    <row r="128" spans="2:13" x14ac:dyDescent="0.6">
      <c r="D128" s="237" t="s">
        <v>917</v>
      </c>
    </row>
    <row r="129" spans="2:7" x14ac:dyDescent="0.6">
      <c r="D129" s="237" t="s">
        <v>918</v>
      </c>
    </row>
    <row r="130" spans="2:7" x14ac:dyDescent="0.6">
      <c r="C130" t="s">
        <v>919</v>
      </c>
    </row>
    <row r="131" spans="2:7" x14ac:dyDescent="0.6">
      <c r="B131" s="411" t="s">
        <v>920</v>
      </c>
    </row>
    <row r="132" spans="2:7" x14ac:dyDescent="0.6">
      <c r="C132" s="502">
        <v>0.16</v>
      </c>
    </row>
    <row r="133" spans="2:7" x14ac:dyDescent="0.6">
      <c r="D133" t="s">
        <v>921</v>
      </c>
      <c r="E133" t="s">
        <v>922</v>
      </c>
      <c r="F133" s="504" t="s">
        <v>924</v>
      </c>
      <c r="G133" t="s">
        <v>923</v>
      </c>
    </row>
    <row r="134" spans="2:7" x14ac:dyDescent="0.6">
      <c r="F134" t="s">
        <v>925</v>
      </c>
    </row>
    <row r="135" spans="2:7" x14ac:dyDescent="0.6">
      <c r="B135" s="411" t="s">
        <v>926</v>
      </c>
    </row>
    <row r="136" spans="2:7" x14ac:dyDescent="0.6">
      <c r="C136" t="s">
        <v>927</v>
      </c>
    </row>
    <row r="137" spans="2:7" x14ac:dyDescent="0.6">
      <c r="C137" t="s">
        <v>928</v>
      </c>
    </row>
    <row r="138" spans="2:7" x14ac:dyDescent="0.6">
      <c r="C138" t="s">
        <v>929</v>
      </c>
    </row>
    <row r="139" spans="2:7" x14ac:dyDescent="0.6">
      <c r="C139" t="s">
        <v>930</v>
      </c>
    </row>
    <row r="140" spans="2:7" x14ac:dyDescent="0.6">
      <c r="C140" t="s">
        <v>931</v>
      </c>
    </row>
    <row r="141" spans="2:7" x14ac:dyDescent="0.6">
      <c r="B141" s="411" t="s">
        <v>875</v>
      </c>
    </row>
    <row r="142" spans="2:7" x14ac:dyDescent="0.6">
      <c r="C142" t="s">
        <v>932</v>
      </c>
    </row>
    <row r="143" spans="2:7" x14ac:dyDescent="0.6">
      <c r="C143" t="s">
        <v>934</v>
      </c>
    </row>
    <row r="144" spans="2:7" x14ac:dyDescent="0.6">
      <c r="C144" t="s">
        <v>933</v>
      </c>
    </row>
    <row r="145" spans="2:6" x14ac:dyDescent="0.6">
      <c r="B145" s="411" t="s">
        <v>935</v>
      </c>
    </row>
    <row r="146" spans="2:6" x14ac:dyDescent="0.6">
      <c r="C146" t="s">
        <v>936</v>
      </c>
      <c r="E146">
        <v>2022</v>
      </c>
      <c r="F146" t="s">
        <v>937</v>
      </c>
    </row>
    <row r="147" spans="2:6" x14ac:dyDescent="0.6">
      <c r="E147" t="s">
        <v>938</v>
      </c>
    </row>
    <row r="148" spans="2:6" x14ac:dyDescent="0.6">
      <c r="B148" s="411" t="s">
        <v>939</v>
      </c>
    </row>
    <row r="149" spans="2:6" x14ac:dyDescent="0.6">
      <c r="C149" t="s">
        <v>940</v>
      </c>
    </row>
    <row r="150" spans="2:6" x14ac:dyDescent="0.6">
      <c r="C150" t="s">
        <v>941</v>
      </c>
    </row>
    <row r="151" spans="2:6" x14ac:dyDescent="0.6">
      <c r="D151" t="s">
        <v>942</v>
      </c>
    </row>
    <row r="152" spans="2:6" x14ac:dyDescent="0.6">
      <c r="D152" t="s">
        <v>943</v>
      </c>
      <c r="F152" t="s">
        <v>944</v>
      </c>
    </row>
    <row r="153" spans="2:6" x14ac:dyDescent="0.6">
      <c r="D153" t="s">
        <v>945</v>
      </c>
      <c r="E153" s="234">
        <v>0.5</v>
      </c>
    </row>
    <row r="154" spans="2:6" x14ac:dyDescent="0.6">
      <c r="D154" t="s">
        <v>946</v>
      </c>
      <c r="E154" s="234">
        <v>0.96</v>
      </c>
    </row>
    <row r="155" spans="2:6" x14ac:dyDescent="0.6">
      <c r="C155" t="s">
        <v>947</v>
      </c>
    </row>
    <row r="156" spans="2:6" x14ac:dyDescent="0.6">
      <c r="C156" t="s">
        <v>948</v>
      </c>
    </row>
    <row r="157" spans="2:6" x14ac:dyDescent="0.6">
      <c r="B157" t="s">
        <v>949</v>
      </c>
    </row>
    <row r="158" spans="2:6" x14ac:dyDescent="0.6">
      <c r="C158" t="s">
        <v>950</v>
      </c>
    </row>
    <row r="159" spans="2:6" x14ac:dyDescent="0.6">
      <c r="C159" t="s">
        <v>951</v>
      </c>
    </row>
    <row r="160" spans="2:6" x14ac:dyDescent="0.6">
      <c r="D160" t="s">
        <v>952</v>
      </c>
    </row>
    <row r="161" spans="2:4" x14ac:dyDescent="0.6">
      <c r="C161" t="s">
        <v>953</v>
      </c>
    </row>
    <row r="162" spans="2:4" x14ac:dyDescent="0.6">
      <c r="B162" s="411" t="s">
        <v>870</v>
      </c>
    </row>
    <row r="163" spans="2:4" x14ac:dyDescent="0.6">
      <c r="C163" t="s">
        <v>954</v>
      </c>
    </row>
    <row r="164" spans="2:4" x14ac:dyDescent="0.6">
      <c r="D164" t="s">
        <v>955</v>
      </c>
    </row>
    <row r="165" spans="2:4" x14ac:dyDescent="0.6">
      <c r="D165" t="s">
        <v>956</v>
      </c>
    </row>
    <row r="166" spans="2:4" x14ac:dyDescent="0.6">
      <c r="C166" t="s">
        <v>957</v>
      </c>
    </row>
    <row r="167" spans="2:4" x14ac:dyDescent="0.6">
      <c r="C167" t="s">
        <v>958</v>
      </c>
    </row>
    <row r="168" spans="2:4" x14ac:dyDescent="0.6">
      <c r="D168" t="s">
        <v>959</v>
      </c>
    </row>
    <row r="169" spans="2:4" x14ac:dyDescent="0.6">
      <c r="B169" s="411" t="s">
        <v>871</v>
      </c>
    </row>
    <row r="170" spans="2:4" x14ac:dyDescent="0.6">
      <c r="C170" t="s">
        <v>960</v>
      </c>
    </row>
    <row r="171" spans="2:4" x14ac:dyDescent="0.6">
      <c r="C171" t="s">
        <v>967</v>
      </c>
    </row>
    <row r="172" spans="2:4" x14ac:dyDescent="0.6">
      <c r="B172" s="411" t="s">
        <v>961</v>
      </c>
    </row>
    <row r="173" spans="2:4" x14ac:dyDescent="0.6">
      <c r="B173" s="411"/>
      <c r="C173" t="s">
        <v>964</v>
      </c>
    </row>
    <row r="174" spans="2:4" x14ac:dyDescent="0.6">
      <c r="C174" t="s">
        <v>962</v>
      </c>
    </row>
    <row r="175" spans="2:4" x14ac:dyDescent="0.6">
      <c r="C175" t="s">
        <v>963</v>
      </c>
    </row>
    <row r="177" spans="2:5" x14ac:dyDescent="0.6">
      <c r="C177" t="s">
        <v>965</v>
      </c>
    </row>
    <row r="178" spans="2:5" x14ac:dyDescent="0.6">
      <c r="C178" t="s">
        <v>966</v>
      </c>
    </row>
    <row r="180" spans="2:5" x14ac:dyDescent="0.6">
      <c r="B180" s="499" t="s">
        <v>1007</v>
      </c>
    </row>
    <row r="182" spans="2:5" x14ac:dyDescent="0.6">
      <c r="B182" t="s">
        <v>1148</v>
      </c>
    </row>
    <row r="184" spans="2:5" x14ac:dyDescent="0.6">
      <c r="B184" t="s">
        <v>186</v>
      </c>
    </row>
    <row r="185" spans="2:5" x14ac:dyDescent="0.6">
      <c r="B185" t="s">
        <v>345</v>
      </c>
      <c r="D185" s="234">
        <v>0.6</v>
      </c>
    </row>
    <row r="186" spans="2:5" x14ac:dyDescent="0.6">
      <c r="B186" t="s">
        <v>1149</v>
      </c>
      <c r="D186" s="234">
        <v>0.8</v>
      </c>
    </row>
    <row r="187" spans="2:5" x14ac:dyDescent="0.6">
      <c r="B187" t="s">
        <v>218</v>
      </c>
      <c r="D187" s="234">
        <v>0.05</v>
      </c>
    </row>
    <row r="189" spans="2:5" x14ac:dyDescent="0.6">
      <c r="B189" t="s">
        <v>1007</v>
      </c>
      <c r="D189" s="19"/>
    </row>
    <row r="190" spans="2:5" x14ac:dyDescent="0.6">
      <c r="B190" t="s">
        <v>1150</v>
      </c>
      <c r="D190" s="361">
        <v>4.8000000000000001E-2</v>
      </c>
      <c r="E190" t="s">
        <v>1151</v>
      </c>
    </row>
    <row r="191" spans="2:5" x14ac:dyDescent="0.6">
      <c r="D191" s="234">
        <f>D190*12</f>
        <v>0.57600000000000007</v>
      </c>
      <c r="E191" t="s">
        <v>1152</v>
      </c>
    </row>
    <row r="192" spans="2:5" x14ac:dyDescent="0.6">
      <c r="D192" s="234">
        <f>2%*12</f>
        <v>0.24</v>
      </c>
      <c r="E192" t="s">
        <v>375</v>
      </c>
    </row>
    <row r="194" spans="2:4" x14ac:dyDescent="0.6">
      <c r="B194" s="499" t="s">
        <v>1188</v>
      </c>
    </row>
    <row r="196" spans="2:4" x14ac:dyDescent="0.6">
      <c r="B196" t="s">
        <v>1189</v>
      </c>
    </row>
    <row r="197" spans="2:4" x14ac:dyDescent="0.6">
      <c r="C197" t="s">
        <v>1190</v>
      </c>
    </row>
    <row r="198" spans="2:4" x14ac:dyDescent="0.6">
      <c r="C198" t="s">
        <v>1191</v>
      </c>
    </row>
    <row r="199" spans="2:4" x14ac:dyDescent="0.6">
      <c r="C199" t="s">
        <v>1192</v>
      </c>
    </row>
    <row r="200" spans="2:4" x14ac:dyDescent="0.6">
      <c r="D200" t="s">
        <v>1193</v>
      </c>
    </row>
    <row r="201" spans="2:4" x14ac:dyDescent="0.6">
      <c r="D201" t="s">
        <v>1194</v>
      </c>
    </row>
    <row r="202" spans="2:4" x14ac:dyDescent="0.6">
      <c r="C202" t="s">
        <v>1195</v>
      </c>
    </row>
    <row r="203" spans="2:4" x14ac:dyDescent="0.6">
      <c r="C203" t="s">
        <v>1196</v>
      </c>
    </row>
    <row r="204" spans="2:4" x14ac:dyDescent="0.6">
      <c r="B204" t="s">
        <v>1197</v>
      </c>
    </row>
    <row r="205" spans="2:4" x14ac:dyDescent="0.6">
      <c r="C205" t="s">
        <v>1198</v>
      </c>
    </row>
    <row r="206" spans="2:4" x14ac:dyDescent="0.6">
      <c r="B206" t="s">
        <v>1199</v>
      </c>
    </row>
    <row r="207" spans="2:4" x14ac:dyDescent="0.6">
      <c r="C207" t="s">
        <v>1200</v>
      </c>
    </row>
    <row r="208" spans="2:4" x14ac:dyDescent="0.6">
      <c r="C208" t="s">
        <v>218</v>
      </c>
    </row>
    <row r="209" spans="2:8" x14ac:dyDescent="0.6">
      <c r="C209" t="s">
        <v>1201</v>
      </c>
      <c r="D209" s="234">
        <v>0.11</v>
      </c>
      <c r="E209" t="s">
        <v>1202</v>
      </c>
      <c r="H209" t="s">
        <v>1203</v>
      </c>
    </row>
    <row r="210" spans="2:8" x14ac:dyDescent="0.6">
      <c r="C210" t="s">
        <v>218</v>
      </c>
      <c r="D210" s="234">
        <v>0.22</v>
      </c>
    </row>
    <row r="211" spans="2:8" x14ac:dyDescent="0.6">
      <c r="B211" t="s">
        <v>419</v>
      </c>
    </row>
    <row r="212" spans="2:8" x14ac:dyDescent="0.6">
      <c r="C212" t="s">
        <v>1204</v>
      </c>
    </row>
    <row r="213" spans="2:8" x14ac:dyDescent="0.6">
      <c r="C213" t="s">
        <v>1205</v>
      </c>
    </row>
    <row r="214" spans="2:8" x14ac:dyDescent="0.6">
      <c r="C214" t="s">
        <v>1206</v>
      </c>
    </row>
    <row r="215" spans="2:8" x14ac:dyDescent="0.6">
      <c r="C215" t="s">
        <v>1207</v>
      </c>
    </row>
    <row r="216" spans="2:8" x14ac:dyDescent="0.6">
      <c r="C216" t="s">
        <v>1208</v>
      </c>
    </row>
    <row r="217" spans="2:8" x14ac:dyDescent="0.6">
      <c r="C217" t="s">
        <v>1209</v>
      </c>
    </row>
    <row r="218" spans="2:8" x14ac:dyDescent="0.6">
      <c r="C218" s="234">
        <v>0.03</v>
      </c>
    </row>
    <row r="219" spans="2:8" x14ac:dyDescent="0.6">
      <c r="B219" t="s">
        <v>1210</v>
      </c>
    </row>
    <row r="220" spans="2:8" x14ac:dyDescent="0.6">
      <c r="C220" t="s">
        <v>1211</v>
      </c>
    </row>
    <row r="221" spans="2:8" x14ac:dyDescent="0.6">
      <c r="B221" t="s">
        <v>520</v>
      </c>
    </row>
    <row r="222" spans="2:8" x14ac:dyDescent="0.6">
      <c r="C222" t="s">
        <v>1212</v>
      </c>
    </row>
    <row r="223" spans="2:8" x14ac:dyDescent="0.6">
      <c r="C223" t="s">
        <v>1213</v>
      </c>
      <c r="H223" t="s">
        <v>1222</v>
      </c>
    </row>
    <row r="224" spans="2:8" x14ac:dyDescent="0.6">
      <c r="C224" t="s">
        <v>1214</v>
      </c>
    </row>
    <row r="225" spans="2:7" x14ac:dyDescent="0.6">
      <c r="C225" t="s">
        <v>1215</v>
      </c>
    </row>
    <row r="226" spans="2:7" x14ac:dyDescent="0.6">
      <c r="C226" t="s">
        <v>1216</v>
      </c>
    </row>
    <row r="227" spans="2:7" x14ac:dyDescent="0.6">
      <c r="D227" t="s">
        <v>1217</v>
      </c>
    </row>
    <row r="228" spans="2:7" x14ac:dyDescent="0.6">
      <c r="C228" t="s">
        <v>1218</v>
      </c>
      <c r="D228" s="234">
        <v>0.95</v>
      </c>
      <c r="F228" t="s">
        <v>1221</v>
      </c>
    </row>
    <row r="229" spans="2:7" x14ac:dyDescent="0.6">
      <c r="C229" t="s">
        <v>1219</v>
      </c>
      <c r="D229" t="s">
        <v>1220</v>
      </c>
      <c r="F229" t="s">
        <v>1221</v>
      </c>
    </row>
    <row r="230" spans="2:7" x14ac:dyDescent="0.6">
      <c r="C230" t="s">
        <v>1231</v>
      </c>
    </row>
    <row r="231" spans="2:7" x14ac:dyDescent="0.6">
      <c r="B231" t="s">
        <v>875</v>
      </c>
    </row>
    <row r="232" spans="2:7" x14ac:dyDescent="0.6">
      <c r="C232" t="s">
        <v>1223</v>
      </c>
    </row>
    <row r="233" spans="2:7" x14ac:dyDescent="0.6">
      <c r="C233" t="s">
        <v>1008</v>
      </c>
      <c r="D233" t="s">
        <v>1224</v>
      </c>
      <c r="G233" t="s">
        <v>1225</v>
      </c>
    </row>
    <row r="234" spans="2:7" x14ac:dyDescent="0.6">
      <c r="C234" t="s">
        <v>1009</v>
      </c>
      <c r="D234" t="s">
        <v>1226</v>
      </c>
    </row>
    <row r="235" spans="2:7" x14ac:dyDescent="0.6">
      <c r="B235" t="s">
        <v>1227</v>
      </c>
    </row>
    <row r="236" spans="2:7" x14ac:dyDescent="0.6">
      <c r="C236" t="s">
        <v>1228</v>
      </c>
    </row>
    <row r="237" spans="2:7" x14ac:dyDescent="0.6">
      <c r="C237" t="s">
        <v>1229</v>
      </c>
    </row>
    <row r="238" spans="2:7" x14ac:dyDescent="0.6">
      <c r="C238" t="s">
        <v>1230</v>
      </c>
    </row>
    <row r="239" spans="2:7" x14ac:dyDescent="0.6">
      <c r="B239" t="s">
        <v>1232</v>
      </c>
    </row>
    <row r="240" spans="2:7" x14ac:dyDescent="0.6">
      <c r="C240" t="s">
        <v>1233</v>
      </c>
    </row>
    <row r="241" spans="2:5" x14ac:dyDescent="0.6">
      <c r="C241" t="s">
        <v>1234</v>
      </c>
    </row>
    <row r="243" spans="2:5" x14ac:dyDescent="0.6">
      <c r="B243" s="499" t="s">
        <v>1253</v>
      </c>
    </row>
    <row r="245" spans="2:5" x14ac:dyDescent="0.6">
      <c r="B245" t="s">
        <v>1254</v>
      </c>
      <c r="C245" t="s">
        <v>1255</v>
      </c>
    </row>
    <row r="246" spans="2:5" x14ac:dyDescent="0.6">
      <c r="C246" t="s">
        <v>1256</v>
      </c>
    </row>
    <row r="247" spans="2:5" x14ac:dyDescent="0.6">
      <c r="C247" t="s">
        <v>1257</v>
      </c>
    </row>
    <row r="248" spans="2:5" x14ac:dyDescent="0.6">
      <c r="C248" t="s">
        <v>1258</v>
      </c>
    </row>
    <row r="250" spans="2:5" x14ac:dyDescent="0.6">
      <c r="C250" t="s">
        <v>1259</v>
      </c>
    </row>
    <row r="251" spans="2:5" x14ac:dyDescent="0.6">
      <c r="B251" t="s">
        <v>1088</v>
      </c>
    </row>
    <row r="252" spans="2:5" x14ac:dyDescent="0.6">
      <c r="C252" t="s">
        <v>1260</v>
      </c>
    </row>
    <row r="253" spans="2:5" x14ac:dyDescent="0.6">
      <c r="C253" t="s">
        <v>1261</v>
      </c>
    </row>
    <row r="254" spans="2:5" x14ac:dyDescent="0.6">
      <c r="D254" t="s">
        <v>1262</v>
      </c>
    </row>
    <row r="255" spans="2:5" x14ac:dyDescent="0.6">
      <c r="E255" t="s">
        <v>1263</v>
      </c>
    </row>
    <row r="256" spans="2:5" x14ac:dyDescent="0.6">
      <c r="D256" t="s">
        <v>1264</v>
      </c>
    </row>
    <row r="257" spans="2:4" x14ac:dyDescent="0.6">
      <c r="C257" t="s">
        <v>1265</v>
      </c>
    </row>
    <row r="258" spans="2:4" x14ac:dyDescent="0.6">
      <c r="C258" t="s">
        <v>1266</v>
      </c>
    </row>
    <row r="259" spans="2:4" x14ac:dyDescent="0.6">
      <c r="C259" t="s">
        <v>1267</v>
      </c>
    </row>
    <row r="260" spans="2:4" x14ac:dyDescent="0.6">
      <c r="B260" t="s">
        <v>1268</v>
      </c>
    </row>
    <row r="261" spans="2:4" x14ac:dyDescent="0.6">
      <c r="C261" t="s">
        <v>1269</v>
      </c>
    </row>
    <row r="262" spans="2:4" x14ac:dyDescent="0.6">
      <c r="B262" t="s">
        <v>1270</v>
      </c>
    </row>
    <row r="263" spans="2:4" x14ac:dyDescent="0.6">
      <c r="C263" t="s">
        <v>1271</v>
      </c>
    </row>
    <row r="264" spans="2:4" x14ac:dyDescent="0.6">
      <c r="D264" t="s">
        <v>1272</v>
      </c>
    </row>
    <row r="265" spans="2:4" x14ac:dyDescent="0.6">
      <c r="C265" t="s">
        <v>1273</v>
      </c>
    </row>
    <row r="266" spans="2:4" x14ac:dyDescent="0.6">
      <c r="C266" t="s">
        <v>1274</v>
      </c>
    </row>
    <row r="268" spans="2:4" x14ac:dyDescent="0.6">
      <c r="B268" s="1042">
        <v>45017</v>
      </c>
    </row>
    <row r="270" spans="2:4" x14ac:dyDescent="0.6">
      <c r="B270" t="s">
        <v>1284</v>
      </c>
    </row>
    <row r="271" spans="2:4" x14ac:dyDescent="0.6">
      <c r="B271" t="s">
        <v>1285</v>
      </c>
    </row>
    <row r="273" spans="2:7" x14ac:dyDescent="0.6">
      <c r="B273" t="s">
        <v>1352</v>
      </c>
    </row>
    <row r="274" spans="2:7" x14ac:dyDescent="0.6">
      <c r="C274" t="s">
        <v>1357</v>
      </c>
    </row>
    <row r="275" spans="2:7" x14ac:dyDescent="0.6">
      <c r="C275" t="s">
        <v>1358</v>
      </c>
    </row>
    <row r="276" spans="2:7" x14ac:dyDescent="0.6">
      <c r="C276" t="s">
        <v>1359</v>
      </c>
    </row>
    <row r="277" spans="2:7" x14ac:dyDescent="0.6">
      <c r="D277" t="s">
        <v>1360</v>
      </c>
    </row>
    <row r="278" spans="2:7" x14ac:dyDescent="0.6">
      <c r="D278" t="s">
        <v>1361</v>
      </c>
    </row>
    <row r="279" spans="2:7" x14ac:dyDescent="0.6">
      <c r="B279" t="s">
        <v>1353</v>
      </c>
    </row>
    <row r="280" spans="2:7" x14ac:dyDescent="0.6">
      <c r="C280" t="s">
        <v>1362</v>
      </c>
    </row>
    <row r="281" spans="2:7" x14ac:dyDescent="0.6">
      <c r="C281" t="s">
        <v>1363</v>
      </c>
    </row>
    <row r="282" spans="2:7" x14ac:dyDescent="0.6">
      <c r="D282" t="s">
        <v>1364</v>
      </c>
    </row>
    <row r="283" spans="2:7" x14ac:dyDescent="0.6">
      <c r="D283" t="s">
        <v>1365</v>
      </c>
    </row>
    <row r="284" spans="2:7" x14ac:dyDescent="0.6">
      <c r="D284" t="s">
        <v>1366</v>
      </c>
    </row>
    <row r="285" spans="2:7" x14ac:dyDescent="0.6">
      <c r="D285" t="s">
        <v>1367</v>
      </c>
    </row>
    <row r="286" spans="2:7" x14ac:dyDescent="0.6">
      <c r="D286" t="s">
        <v>1368</v>
      </c>
      <c r="E286" t="s">
        <v>1370</v>
      </c>
      <c r="G286" t="s">
        <v>1372</v>
      </c>
    </row>
    <row r="287" spans="2:7" x14ac:dyDescent="0.6">
      <c r="D287" t="s">
        <v>1369</v>
      </c>
      <c r="E287" t="s">
        <v>1371</v>
      </c>
      <c r="G287" t="s">
        <v>1373</v>
      </c>
    </row>
    <row r="288" spans="2:7" x14ac:dyDescent="0.6">
      <c r="D288" t="s">
        <v>1374</v>
      </c>
    </row>
    <row r="289" spans="2:7" x14ac:dyDescent="0.6">
      <c r="E289" t="s">
        <v>1375</v>
      </c>
    </row>
    <row r="290" spans="2:7" x14ac:dyDescent="0.6">
      <c r="E290" t="s">
        <v>1376</v>
      </c>
    </row>
    <row r="291" spans="2:7" x14ac:dyDescent="0.6">
      <c r="D291" t="s">
        <v>1377</v>
      </c>
    </row>
    <row r="292" spans="2:7" x14ac:dyDescent="0.6">
      <c r="E292" t="s">
        <v>1378</v>
      </c>
    </row>
    <row r="293" spans="2:7" x14ac:dyDescent="0.6">
      <c r="E293" t="s">
        <v>1379</v>
      </c>
    </row>
    <row r="294" spans="2:7" x14ac:dyDescent="0.6">
      <c r="F294" t="s">
        <v>1380</v>
      </c>
    </row>
    <row r="295" spans="2:7" x14ac:dyDescent="0.6">
      <c r="D295" t="s">
        <v>1381</v>
      </c>
    </row>
    <row r="296" spans="2:7" x14ac:dyDescent="0.6">
      <c r="B296" t="s">
        <v>1354</v>
      </c>
    </row>
    <row r="297" spans="2:7" x14ac:dyDescent="0.6">
      <c r="C297" t="s">
        <v>1355</v>
      </c>
    </row>
    <row r="298" spans="2:7" x14ac:dyDescent="0.6">
      <c r="C298" t="s">
        <v>1356</v>
      </c>
    </row>
    <row r="299" spans="2:7" x14ac:dyDescent="0.6">
      <c r="D299" t="s">
        <v>1382</v>
      </c>
    </row>
    <row r="300" spans="2:7" x14ac:dyDescent="0.6">
      <c r="E300" t="s">
        <v>1383</v>
      </c>
      <c r="G300" t="s">
        <v>1384</v>
      </c>
    </row>
    <row r="301" spans="2:7" x14ac:dyDescent="0.6">
      <c r="E301" t="s">
        <v>1385</v>
      </c>
      <c r="G301" t="s">
        <v>1386</v>
      </c>
    </row>
    <row r="302" spans="2:7" x14ac:dyDescent="0.6">
      <c r="G302" t="s">
        <v>1387</v>
      </c>
    </row>
    <row r="303" spans="2:7" x14ac:dyDescent="0.6">
      <c r="C303" t="s">
        <v>1388</v>
      </c>
    </row>
    <row r="304" spans="2:7" x14ac:dyDescent="0.6">
      <c r="D304" t="s">
        <v>1389</v>
      </c>
    </row>
    <row r="305" spans="2:9" x14ac:dyDescent="0.6">
      <c r="D305" t="s">
        <v>1390</v>
      </c>
    </row>
    <row r="306" spans="2:9" x14ac:dyDescent="0.6">
      <c r="C306" t="s">
        <v>1391</v>
      </c>
      <c r="G306" s="1043" t="s">
        <v>1394</v>
      </c>
      <c r="H306" s="1043" t="s">
        <v>1395</v>
      </c>
    </row>
    <row r="307" spans="2:9" x14ac:dyDescent="0.6">
      <c r="D307" t="s">
        <v>1392</v>
      </c>
      <c r="G307" s="279">
        <v>2.1399999999999999E-2</v>
      </c>
      <c r="H307" s="279">
        <v>1.9699999999999999E-2</v>
      </c>
      <c r="I307" t="s">
        <v>1396</v>
      </c>
    </row>
    <row r="308" spans="2:9" x14ac:dyDescent="0.6">
      <c r="G308" s="279"/>
      <c r="H308" s="279"/>
      <c r="I308" t="s">
        <v>1397</v>
      </c>
    </row>
    <row r="309" spans="2:9" x14ac:dyDescent="0.6">
      <c r="D309" t="s">
        <v>1385</v>
      </c>
      <c r="G309" s="279">
        <v>2.01E-2</v>
      </c>
      <c r="I309" t="s">
        <v>1399</v>
      </c>
    </row>
    <row r="310" spans="2:9" x14ac:dyDescent="0.6">
      <c r="E310" t="s">
        <v>1393</v>
      </c>
      <c r="H310" s="279">
        <v>1.35E-2</v>
      </c>
      <c r="I310" s="361"/>
    </row>
    <row r="311" spans="2:9" x14ac:dyDescent="0.6">
      <c r="H311" s="279">
        <v>1.9E-2</v>
      </c>
    </row>
    <row r="312" spans="2:9" x14ac:dyDescent="0.6">
      <c r="D312" t="s">
        <v>1398</v>
      </c>
      <c r="H312" s="279"/>
    </row>
    <row r="313" spans="2:9" x14ac:dyDescent="0.6">
      <c r="C313" t="s">
        <v>1400</v>
      </c>
      <c r="H313" s="279"/>
    </row>
    <row r="314" spans="2:9" x14ac:dyDescent="0.6">
      <c r="C314" t="s">
        <v>1401</v>
      </c>
      <c r="H314" s="279"/>
    </row>
    <row r="315" spans="2:9" x14ac:dyDescent="0.6">
      <c r="D315" t="s">
        <v>1402</v>
      </c>
      <c r="H315" s="279"/>
    </row>
    <row r="316" spans="2:9" x14ac:dyDescent="0.6">
      <c r="D316" t="s">
        <v>1403</v>
      </c>
      <c r="H316" s="279"/>
    </row>
    <row r="317" spans="2:9" x14ac:dyDescent="0.6">
      <c r="D317" t="s">
        <v>1404</v>
      </c>
      <c r="H317" s="279"/>
    </row>
    <row r="318" spans="2:9" x14ac:dyDescent="0.6">
      <c r="E318" t="s">
        <v>1405</v>
      </c>
      <c r="H318" s="279"/>
    </row>
    <row r="319" spans="2:9" x14ac:dyDescent="0.6">
      <c r="E319" t="s">
        <v>1406</v>
      </c>
      <c r="H319" s="279"/>
    </row>
    <row r="320" spans="2:9" x14ac:dyDescent="0.6">
      <c r="B320" t="s">
        <v>1328</v>
      </c>
      <c r="C320" s="411" t="s">
        <v>1338</v>
      </c>
    </row>
    <row r="321" spans="3:5" x14ac:dyDescent="0.6">
      <c r="D321" t="s">
        <v>1329</v>
      </c>
      <c r="E321" t="s">
        <v>1330</v>
      </c>
    </row>
    <row r="322" spans="3:5" x14ac:dyDescent="0.6">
      <c r="C322" t="s">
        <v>1331</v>
      </c>
      <c r="D322">
        <v>1091</v>
      </c>
      <c r="E322">
        <v>1135</v>
      </c>
    </row>
    <row r="323" spans="3:5" x14ac:dyDescent="0.6">
      <c r="C323" t="s">
        <v>1332</v>
      </c>
      <c r="D323">
        <v>5106</v>
      </c>
    </row>
    <row r="324" spans="3:5" x14ac:dyDescent="0.6">
      <c r="C324" t="s">
        <v>1337</v>
      </c>
      <c r="E324">
        <v>3923</v>
      </c>
    </row>
    <row r="326" spans="3:5" x14ac:dyDescent="0.6">
      <c r="C326" t="s">
        <v>1333</v>
      </c>
      <c r="D326">
        <v>536</v>
      </c>
    </row>
    <row r="327" spans="3:5" x14ac:dyDescent="0.6">
      <c r="C327" t="s">
        <v>1334</v>
      </c>
      <c r="D327" s="361">
        <f>D326/D323</f>
        <v>0.10497453975714845</v>
      </c>
    </row>
    <row r="329" spans="3:5" x14ac:dyDescent="0.6">
      <c r="C329" t="s">
        <v>1335</v>
      </c>
      <c r="D329">
        <f>D322-D326</f>
        <v>555</v>
      </c>
    </row>
    <row r="330" spans="3:5" x14ac:dyDescent="0.6">
      <c r="C330" t="s">
        <v>1336</v>
      </c>
      <c r="D330" s="361">
        <f>D322/D323</f>
        <v>0.21367019193106149</v>
      </c>
      <c r="E330" s="361">
        <f>E322/E324</f>
        <v>0.28931939841957688</v>
      </c>
    </row>
    <row r="332" spans="3:5" x14ac:dyDescent="0.6">
      <c r="C332" s="411" t="s">
        <v>1118</v>
      </c>
    </row>
    <row r="334" spans="3:5" x14ac:dyDescent="0.6">
      <c r="C334" t="s">
        <v>1342</v>
      </c>
      <c r="D334">
        <v>1700</v>
      </c>
    </row>
    <row r="335" spans="3:5" x14ac:dyDescent="0.6">
      <c r="C335" t="s">
        <v>1341</v>
      </c>
      <c r="D335" s="361">
        <v>0.09</v>
      </c>
    </row>
    <row r="336" spans="3:5" x14ac:dyDescent="0.6">
      <c r="C336" t="s">
        <v>1340</v>
      </c>
      <c r="D336" s="83">
        <f>D334/D335</f>
        <v>18888.888888888891</v>
      </c>
    </row>
    <row r="337" spans="2:6" x14ac:dyDescent="0.6">
      <c r="C337" t="str">
        <f>C327</f>
        <v>Basel III Tier 1</v>
      </c>
      <c r="D337" s="361">
        <f>D327</f>
        <v>0.10497453975714845</v>
      </c>
    </row>
    <row r="338" spans="2:6" x14ac:dyDescent="0.6">
      <c r="C338" t="s">
        <v>1343</v>
      </c>
      <c r="D338" s="83">
        <f>D337*D336</f>
        <v>1982.8524176350263</v>
      </c>
    </row>
    <row r="339" spans="2:6" x14ac:dyDescent="0.6">
      <c r="C339" t="s">
        <v>1344</v>
      </c>
      <c r="D339" s="83">
        <f>D338-D334</f>
        <v>282.85241763502631</v>
      </c>
    </row>
    <row r="341" spans="2:6" x14ac:dyDescent="0.6">
      <c r="B341" s="1044">
        <v>45108</v>
      </c>
    </row>
    <row r="342" spans="2:6" x14ac:dyDescent="0.6">
      <c r="B342" s="1044"/>
      <c r="C342" t="s">
        <v>1407</v>
      </c>
      <c r="D342">
        <v>6.75</v>
      </c>
      <c r="E342">
        <v>8.75</v>
      </c>
      <c r="F342">
        <v>10.5</v>
      </c>
    </row>
    <row r="343" spans="2:6" x14ac:dyDescent="0.6">
      <c r="B343" s="1044"/>
      <c r="C343" t="s">
        <v>1408</v>
      </c>
    </row>
    <row r="344" spans="2:6" x14ac:dyDescent="0.6">
      <c r="B344" s="1044"/>
      <c r="C344" t="s">
        <v>1409</v>
      </c>
    </row>
    <row r="345" spans="2:6" x14ac:dyDescent="0.6">
      <c r="B345" s="1044"/>
      <c r="C345" t="s">
        <v>1410</v>
      </c>
    </row>
    <row r="346" spans="2:6" x14ac:dyDescent="0.6">
      <c r="D346" t="s">
        <v>1411</v>
      </c>
    </row>
    <row r="347" spans="2:6" x14ac:dyDescent="0.6">
      <c r="B347" t="s">
        <v>1412</v>
      </c>
    </row>
    <row r="348" spans="2:6" x14ac:dyDescent="0.6">
      <c r="C348" t="s">
        <v>1413</v>
      </c>
    </row>
    <row r="349" spans="2:6" x14ac:dyDescent="0.6">
      <c r="C349" t="s">
        <v>1414</v>
      </c>
    </row>
    <row r="350" spans="2:6" x14ac:dyDescent="0.6">
      <c r="C350" t="s">
        <v>1415</v>
      </c>
    </row>
    <row r="352" spans="2:6" x14ac:dyDescent="0.6">
      <c r="B352" t="s">
        <v>1286</v>
      </c>
    </row>
    <row r="353" spans="2:5" x14ac:dyDescent="0.6">
      <c r="C353" t="s">
        <v>1345</v>
      </c>
      <c r="D353" t="s">
        <v>1346</v>
      </c>
    </row>
    <row r="354" spans="2:5" x14ac:dyDescent="0.6">
      <c r="C354" t="s">
        <v>1339</v>
      </c>
      <c r="D354" t="s">
        <v>1347</v>
      </c>
    </row>
    <row r="355" spans="2:5" x14ac:dyDescent="0.6">
      <c r="C355" t="s">
        <v>1351</v>
      </c>
    </row>
    <row r="356" spans="2:5" x14ac:dyDescent="0.6">
      <c r="C356" t="s">
        <v>1348</v>
      </c>
    </row>
    <row r="357" spans="2:5" x14ac:dyDescent="0.6">
      <c r="B357" t="s">
        <v>1288</v>
      </c>
    </row>
    <row r="358" spans="2:5" x14ac:dyDescent="0.6">
      <c r="C358" t="s">
        <v>1289</v>
      </c>
    </row>
    <row r="359" spans="2:5" x14ac:dyDescent="0.6">
      <c r="C359" t="s">
        <v>1290</v>
      </c>
    </row>
    <row r="360" spans="2:5" x14ac:dyDescent="0.6">
      <c r="C360" t="s">
        <v>1291</v>
      </c>
    </row>
    <row r="361" spans="2:5" x14ac:dyDescent="0.6">
      <c r="D361" t="s">
        <v>1422</v>
      </c>
    </row>
    <row r="362" spans="2:5" x14ac:dyDescent="0.6">
      <c r="D362" t="s">
        <v>1423</v>
      </c>
    </row>
    <row r="363" spans="2:5" x14ac:dyDescent="0.6">
      <c r="D363" t="s">
        <v>1424</v>
      </c>
    </row>
    <row r="364" spans="2:5" x14ac:dyDescent="0.6">
      <c r="B364" t="s">
        <v>1349</v>
      </c>
    </row>
    <row r="365" spans="2:5" x14ac:dyDescent="0.6">
      <c r="C365" t="s">
        <v>1350</v>
      </c>
    </row>
    <row r="366" spans="2:5" x14ac:dyDescent="0.6">
      <c r="D366" t="s">
        <v>1416</v>
      </c>
    </row>
    <row r="367" spans="2:5" x14ac:dyDescent="0.6">
      <c r="E367" t="s">
        <v>1417</v>
      </c>
    </row>
    <row r="368" spans="2:5" x14ac:dyDescent="0.6">
      <c r="E368" t="s">
        <v>1418</v>
      </c>
    </row>
    <row r="369" spans="2:4" x14ac:dyDescent="0.6">
      <c r="C369" t="s">
        <v>1419</v>
      </c>
    </row>
    <row r="370" spans="2:4" x14ac:dyDescent="0.6">
      <c r="C370" t="s">
        <v>1420</v>
      </c>
    </row>
    <row r="371" spans="2:4" x14ac:dyDescent="0.6">
      <c r="D371" t="s">
        <v>1421</v>
      </c>
    </row>
    <row r="373" spans="2:4" x14ac:dyDescent="0.6">
      <c r="B373" s="411" t="s">
        <v>1452</v>
      </c>
    </row>
    <row r="375" spans="2:4" x14ac:dyDescent="0.6">
      <c r="B375" t="s">
        <v>229</v>
      </c>
    </row>
    <row r="376" spans="2:4" x14ac:dyDescent="0.6">
      <c r="C376" t="s">
        <v>1485</v>
      </c>
    </row>
    <row r="377" spans="2:4" x14ac:dyDescent="0.6">
      <c r="C377" t="s">
        <v>1486</v>
      </c>
    </row>
    <row r="378" spans="2:4" x14ac:dyDescent="0.6">
      <c r="D378" t="s">
        <v>1477</v>
      </c>
    </row>
    <row r="379" spans="2:4" x14ac:dyDescent="0.6">
      <c r="B379" t="s">
        <v>345</v>
      </c>
    </row>
    <row r="380" spans="2:4" x14ac:dyDescent="0.6">
      <c r="C380" t="s">
        <v>1487</v>
      </c>
    </row>
    <row r="381" spans="2:4" x14ac:dyDescent="0.6">
      <c r="D381" t="s">
        <v>1478</v>
      </c>
    </row>
    <row r="382" spans="2:4" x14ac:dyDescent="0.6">
      <c r="C382" t="s">
        <v>1479</v>
      </c>
    </row>
    <row r="383" spans="2:4" x14ac:dyDescent="0.6">
      <c r="B383" t="s">
        <v>1468</v>
      </c>
    </row>
    <row r="384" spans="2:4" x14ac:dyDescent="0.6">
      <c r="C384" t="s">
        <v>1469</v>
      </c>
    </row>
    <row r="385" spans="2:5" x14ac:dyDescent="0.6">
      <c r="B385" t="s">
        <v>1470</v>
      </c>
      <c r="E385" t="s">
        <v>575</v>
      </c>
    </row>
    <row r="386" spans="2:5" x14ac:dyDescent="0.6">
      <c r="C386" t="s">
        <v>1471</v>
      </c>
    </row>
    <row r="387" spans="2:5" x14ac:dyDescent="0.6">
      <c r="B387" t="s">
        <v>1480</v>
      </c>
    </row>
    <row r="388" spans="2:5" x14ac:dyDescent="0.6">
      <c r="C388" t="s">
        <v>1488</v>
      </c>
    </row>
    <row r="389" spans="2:5" x14ac:dyDescent="0.6">
      <c r="C389" t="s">
        <v>1489</v>
      </c>
    </row>
    <row r="390" spans="2:5" x14ac:dyDescent="0.6">
      <c r="C390" t="s">
        <v>1490</v>
      </c>
    </row>
    <row r="391" spans="2:5" x14ac:dyDescent="0.6">
      <c r="B391" t="s">
        <v>1453</v>
      </c>
    </row>
    <row r="392" spans="2:5" x14ac:dyDescent="0.6">
      <c r="B392" t="s">
        <v>1455</v>
      </c>
    </row>
    <row r="393" spans="2:5" x14ac:dyDescent="0.6">
      <c r="B393" t="s">
        <v>1459</v>
      </c>
    </row>
    <row r="394" spans="2:5" x14ac:dyDescent="0.6">
      <c r="B394" t="s">
        <v>1460</v>
      </c>
    </row>
    <row r="395" spans="2:5" x14ac:dyDescent="0.6">
      <c r="B395" t="s">
        <v>1461</v>
      </c>
    </row>
    <row r="396" spans="2:5" x14ac:dyDescent="0.6">
      <c r="B396" t="s">
        <v>1462</v>
      </c>
    </row>
    <row r="398" spans="2:5" x14ac:dyDescent="0.6">
      <c r="B398" t="s">
        <v>419</v>
      </c>
    </row>
    <row r="399" spans="2:5" x14ac:dyDescent="0.6">
      <c r="C399" t="s">
        <v>1085</v>
      </c>
      <c r="D399" t="s">
        <v>1492</v>
      </c>
    </row>
    <row r="400" spans="2:5" x14ac:dyDescent="0.6">
      <c r="D400" t="s">
        <v>218</v>
      </c>
      <c r="E400" t="s">
        <v>1493</v>
      </c>
    </row>
    <row r="401" spans="2:5" x14ac:dyDescent="0.6">
      <c r="D401" t="s">
        <v>419</v>
      </c>
      <c r="E401" t="s">
        <v>1494</v>
      </c>
    </row>
    <row r="402" spans="2:5" x14ac:dyDescent="0.6">
      <c r="C402" t="s">
        <v>1495</v>
      </c>
    </row>
    <row r="403" spans="2:5" x14ac:dyDescent="0.6">
      <c r="D403" t="s">
        <v>1496</v>
      </c>
    </row>
    <row r="404" spans="2:5" x14ac:dyDescent="0.6">
      <c r="B404" t="s">
        <v>229</v>
      </c>
    </row>
    <row r="405" spans="2:5" x14ac:dyDescent="0.6">
      <c r="C405" t="s">
        <v>1497</v>
      </c>
    </row>
    <row r="406" spans="2:5" x14ac:dyDescent="0.6">
      <c r="C406" t="s">
        <v>1498</v>
      </c>
    </row>
    <row r="407" spans="2:5" x14ac:dyDescent="0.6">
      <c r="D407" t="s">
        <v>1499</v>
      </c>
    </row>
    <row r="408" spans="2:5" x14ac:dyDescent="0.6">
      <c r="D408" t="s">
        <v>1500</v>
      </c>
    </row>
    <row r="409" spans="2:5" x14ac:dyDescent="0.6">
      <c r="C409" t="s">
        <v>1501</v>
      </c>
    </row>
    <row r="410" spans="2:5" x14ac:dyDescent="0.6">
      <c r="D410" t="s">
        <v>1502</v>
      </c>
    </row>
    <row r="411" spans="2:5" x14ac:dyDescent="0.6">
      <c r="E411" t="s">
        <v>1503</v>
      </c>
    </row>
    <row r="412" spans="2:5" x14ac:dyDescent="0.6">
      <c r="E412" t="s">
        <v>1504</v>
      </c>
    </row>
    <row r="413" spans="2:5" x14ac:dyDescent="0.6">
      <c r="D413" t="s">
        <v>1505</v>
      </c>
    </row>
    <row r="414" spans="2:5" x14ac:dyDescent="0.6">
      <c r="E414" t="s">
        <v>1506</v>
      </c>
    </row>
    <row r="415" spans="2:5" x14ac:dyDescent="0.6">
      <c r="E415" t="s">
        <v>1508</v>
      </c>
    </row>
    <row r="416" spans="2:5" x14ac:dyDescent="0.6">
      <c r="E416" t="s">
        <v>1507</v>
      </c>
    </row>
    <row r="417" spans="2:4" x14ac:dyDescent="0.6">
      <c r="B417" t="s">
        <v>1509</v>
      </c>
    </row>
    <row r="418" spans="2:4" x14ac:dyDescent="0.6">
      <c r="C418" t="s">
        <v>1510</v>
      </c>
    </row>
    <row r="419" spans="2:4" x14ac:dyDescent="0.6">
      <c r="B419" t="s">
        <v>1511</v>
      </c>
    </row>
    <row r="420" spans="2:4" x14ac:dyDescent="0.6">
      <c r="C420" t="s">
        <v>1512</v>
      </c>
    </row>
    <row r="421" spans="2:4" x14ac:dyDescent="0.6">
      <c r="B421" t="s">
        <v>1513</v>
      </c>
    </row>
    <row r="422" spans="2:4" x14ac:dyDescent="0.6">
      <c r="C422" t="s">
        <v>1515</v>
      </c>
    </row>
    <row r="423" spans="2:4" x14ac:dyDescent="0.6">
      <c r="C423" t="s">
        <v>1514</v>
      </c>
    </row>
    <row r="424" spans="2:4" x14ac:dyDescent="0.6">
      <c r="D424" t="s">
        <v>1516</v>
      </c>
    </row>
    <row r="425" spans="2:4" x14ac:dyDescent="0.6">
      <c r="B425" t="s">
        <v>24</v>
      </c>
    </row>
    <row r="426" spans="2:4" x14ac:dyDescent="0.6">
      <c r="C426" t="s">
        <v>1517</v>
      </c>
    </row>
    <row r="428" spans="2:4" x14ac:dyDescent="0.6">
      <c r="B428" s="499" t="s">
        <v>1519</v>
      </c>
    </row>
    <row r="430" spans="2:4" x14ac:dyDescent="0.6">
      <c r="B430" t="s">
        <v>1197</v>
      </c>
    </row>
    <row r="431" spans="2:4" x14ac:dyDescent="0.6">
      <c r="C431" t="s">
        <v>1520</v>
      </c>
    </row>
    <row r="432" spans="2:4" x14ac:dyDescent="0.6">
      <c r="C432" t="s">
        <v>1521</v>
      </c>
    </row>
    <row r="433" spans="2:4" x14ac:dyDescent="0.6">
      <c r="C433" t="s">
        <v>1522</v>
      </c>
    </row>
    <row r="434" spans="2:4" x14ac:dyDescent="0.6">
      <c r="B434" t="s">
        <v>935</v>
      </c>
    </row>
    <row r="435" spans="2:4" x14ac:dyDescent="0.6">
      <c r="C435" t="s">
        <v>1523</v>
      </c>
    </row>
    <row r="436" spans="2:4" x14ac:dyDescent="0.6">
      <c r="C436" t="s">
        <v>1524</v>
      </c>
    </row>
    <row r="437" spans="2:4" x14ac:dyDescent="0.6">
      <c r="B437" t="s">
        <v>419</v>
      </c>
    </row>
    <row r="438" spans="2:4" x14ac:dyDescent="0.6">
      <c r="C438" t="s">
        <v>1525</v>
      </c>
    </row>
    <row r="439" spans="2:4" x14ac:dyDescent="0.6">
      <c r="C439" t="s">
        <v>1526</v>
      </c>
    </row>
    <row r="440" spans="2:4" x14ac:dyDescent="0.6">
      <c r="C440" t="s">
        <v>1527</v>
      </c>
    </row>
    <row r="442" spans="2:4" x14ac:dyDescent="0.6">
      <c r="C442" t="s">
        <v>1528</v>
      </c>
    </row>
    <row r="443" spans="2:4" x14ac:dyDescent="0.6">
      <c r="D443" t="s">
        <v>1529</v>
      </c>
    </row>
    <row r="444" spans="2:4" x14ac:dyDescent="0.6">
      <c r="D444" t="s">
        <v>1530</v>
      </c>
    </row>
    <row r="445" spans="2:4" x14ac:dyDescent="0.6">
      <c r="C445" t="s">
        <v>1531</v>
      </c>
    </row>
    <row r="446" spans="2:4" x14ac:dyDescent="0.6">
      <c r="B446" t="s">
        <v>180</v>
      </c>
    </row>
    <row r="447" spans="2:4" x14ac:dyDescent="0.6">
      <c r="C447" t="s">
        <v>1532</v>
      </c>
    </row>
    <row r="448" spans="2:4" x14ac:dyDescent="0.6">
      <c r="C448" t="s">
        <v>1533</v>
      </c>
    </row>
    <row r="449" spans="2:4" x14ac:dyDescent="0.6">
      <c r="C449" t="s">
        <v>1534</v>
      </c>
    </row>
    <row r="450" spans="2:4" x14ac:dyDescent="0.6">
      <c r="D450" t="s">
        <v>1535</v>
      </c>
    </row>
    <row r="451" spans="2:4" x14ac:dyDescent="0.6">
      <c r="D451" t="s">
        <v>1536</v>
      </c>
    </row>
    <row r="452" spans="2:4" x14ac:dyDescent="0.6">
      <c r="B452" t="s">
        <v>1540</v>
      </c>
    </row>
    <row r="453" spans="2:4" x14ac:dyDescent="0.6">
      <c r="C453" t="s">
        <v>1537</v>
      </c>
    </row>
    <row r="454" spans="2:4" x14ac:dyDescent="0.6">
      <c r="C454" t="s">
        <v>1538</v>
      </c>
    </row>
    <row r="455" spans="2:4" x14ac:dyDescent="0.6">
      <c r="C455" t="s">
        <v>1539</v>
      </c>
    </row>
    <row r="456" spans="2:4" x14ac:dyDescent="0.6">
      <c r="B456" t="s">
        <v>1541</v>
      </c>
    </row>
    <row r="457" spans="2:4" x14ac:dyDescent="0.6">
      <c r="C457" t="s">
        <v>1542</v>
      </c>
    </row>
    <row r="458" spans="2:4" x14ac:dyDescent="0.6">
      <c r="C458" t="s">
        <v>1543</v>
      </c>
    </row>
    <row r="459" spans="2:4" x14ac:dyDescent="0.6">
      <c r="B459" t="s">
        <v>1544</v>
      </c>
    </row>
    <row r="460" spans="2:4" x14ac:dyDescent="0.6">
      <c r="C460" t="s">
        <v>1545</v>
      </c>
    </row>
    <row r="461" spans="2:4" x14ac:dyDescent="0.6">
      <c r="C461" t="s">
        <v>1546</v>
      </c>
    </row>
    <row r="462" spans="2:4" x14ac:dyDescent="0.6">
      <c r="C462" t="s">
        <v>1547</v>
      </c>
    </row>
    <row r="463" spans="2:4" x14ac:dyDescent="0.6">
      <c r="C463" t="s">
        <v>1548</v>
      </c>
    </row>
    <row r="464" spans="2:4" x14ac:dyDescent="0.6">
      <c r="D464" t="s">
        <v>1550</v>
      </c>
    </row>
    <row r="465" spans="2:4" x14ac:dyDescent="0.6">
      <c r="C465" t="s">
        <v>1549</v>
      </c>
    </row>
    <row r="466" spans="2:4" x14ac:dyDescent="0.6">
      <c r="D466" t="s">
        <v>1551</v>
      </c>
    </row>
    <row r="467" spans="2:4" x14ac:dyDescent="0.6">
      <c r="D467" t="s">
        <v>1552</v>
      </c>
    </row>
    <row r="468" spans="2:4" x14ac:dyDescent="0.6">
      <c r="B468" t="s">
        <v>1085</v>
      </c>
    </row>
    <row r="469" spans="2:4" x14ac:dyDescent="0.6">
      <c r="C469" t="s">
        <v>1553</v>
      </c>
    </row>
    <row r="470" spans="2:4" x14ac:dyDescent="0.6">
      <c r="C470" t="s">
        <v>1554</v>
      </c>
    </row>
    <row r="471" spans="2:4" x14ac:dyDescent="0.6">
      <c r="B471" t="s">
        <v>1555</v>
      </c>
    </row>
    <row r="472" spans="2:4" x14ac:dyDescent="0.6">
      <c r="C472" t="s">
        <v>1556</v>
      </c>
    </row>
    <row r="473" spans="2:4" x14ac:dyDescent="0.6">
      <c r="C473" t="s">
        <v>1557</v>
      </c>
    </row>
    <row r="474" spans="2:4" x14ac:dyDescent="0.6">
      <c r="C474" t="s">
        <v>1558</v>
      </c>
    </row>
    <row r="475" spans="2:4" x14ac:dyDescent="0.6">
      <c r="D475" t="s">
        <v>1559</v>
      </c>
    </row>
    <row r="476" spans="2:4" x14ac:dyDescent="0.6">
      <c r="D476" t="s">
        <v>1560</v>
      </c>
    </row>
    <row r="477" spans="2:4" x14ac:dyDescent="0.6">
      <c r="B477" t="s">
        <v>229</v>
      </c>
    </row>
    <row r="478" spans="2:4" x14ac:dyDescent="0.6">
      <c r="C478" t="s">
        <v>1561</v>
      </c>
    </row>
    <row r="479" spans="2:4" x14ac:dyDescent="0.6">
      <c r="C479" t="s">
        <v>1563</v>
      </c>
    </row>
    <row r="480" spans="2:4" x14ac:dyDescent="0.6">
      <c r="D480" t="s">
        <v>1562</v>
      </c>
    </row>
    <row r="481" spans="2:4" x14ac:dyDescent="0.6">
      <c r="D481" t="s">
        <v>1564</v>
      </c>
    </row>
    <row r="482" spans="2:4" x14ac:dyDescent="0.6">
      <c r="D482" t="s">
        <v>1565</v>
      </c>
    </row>
    <row r="483" spans="2:4" x14ac:dyDescent="0.6">
      <c r="C483" t="s">
        <v>1566</v>
      </c>
    </row>
    <row r="484" spans="2:4" x14ac:dyDescent="0.6">
      <c r="D484" t="s">
        <v>1567</v>
      </c>
    </row>
    <row r="485" spans="2:4" x14ac:dyDescent="0.6">
      <c r="C485" t="s">
        <v>1568</v>
      </c>
    </row>
    <row r="486" spans="2:4" x14ac:dyDescent="0.6">
      <c r="D486" t="s">
        <v>1569</v>
      </c>
    </row>
    <row r="487" spans="2:4" x14ac:dyDescent="0.6">
      <c r="D487" t="s">
        <v>1570</v>
      </c>
    </row>
    <row r="488" spans="2:4" x14ac:dyDescent="0.6">
      <c r="C488" t="s">
        <v>1571</v>
      </c>
    </row>
    <row r="489" spans="2:4" x14ac:dyDescent="0.6">
      <c r="D489" t="s">
        <v>1572</v>
      </c>
    </row>
    <row r="490" spans="2:4" x14ac:dyDescent="0.6">
      <c r="C490" t="s">
        <v>1573</v>
      </c>
    </row>
    <row r="491" spans="2:4" x14ac:dyDescent="0.6">
      <c r="B491" t="s">
        <v>419</v>
      </c>
    </row>
    <row r="492" spans="2:4" x14ac:dyDescent="0.6">
      <c r="C492" t="s">
        <v>1574</v>
      </c>
    </row>
    <row r="493" spans="2:4" x14ac:dyDescent="0.6">
      <c r="B493" t="s">
        <v>1575</v>
      </c>
    </row>
    <row r="494" spans="2:4" x14ac:dyDescent="0.6">
      <c r="C494" t="s">
        <v>1576</v>
      </c>
    </row>
    <row r="495" spans="2:4" x14ac:dyDescent="0.6">
      <c r="C495" t="s">
        <v>1577</v>
      </c>
    </row>
    <row r="496" spans="2:4" x14ac:dyDescent="0.6">
      <c r="B496" t="s">
        <v>1578</v>
      </c>
    </row>
    <row r="497" spans="2:4" x14ac:dyDescent="0.6">
      <c r="C497" t="s">
        <v>1579</v>
      </c>
    </row>
    <row r="498" spans="2:4" x14ac:dyDescent="0.6">
      <c r="C498" t="s">
        <v>1580</v>
      </c>
    </row>
    <row r="499" spans="2:4" x14ac:dyDescent="0.6">
      <c r="C499" t="s">
        <v>1581</v>
      </c>
      <c r="D499" t="s">
        <v>1582</v>
      </c>
    </row>
    <row r="500" spans="2:4" x14ac:dyDescent="0.6">
      <c r="C500" t="s">
        <v>1583</v>
      </c>
      <c r="D500" t="s">
        <v>1584</v>
      </c>
    </row>
    <row r="501" spans="2:4" x14ac:dyDescent="0.6">
      <c r="D501" t="s">
        <v>1585</v>
      </c>
    </row>
    <row r="502" spans="2:4" x14ac:dyDescent="0.6">
      <c r="B502" t="s">
        <v>1586</v>
      </c>
    </row>
    <row r="503" spans="2:4" x14ac:dyDescent="0.6">
      <c r="C503" t="s">
        <v>1587</v>
      </c>
    </row>
    <row r="504" spans="2:4" x14ac:dyDescent="0.6">
      <c r="C504" t="s">
        <v>1588</v>
      </c>
    </row>
    <row r="505" spans="2:4" x14ac:dyDescent="0.6">
      <c r="C505" t="s">
        <v>1589</v>
      </c>
    </row>
    <row r="506" spans="2:4" x14ac:dyDescent="0.6">
      <c r="B506" t="s">
        <v>1590</v>
      </c>
    </row>
    <row r="507" spans="2:4" x14ac:dyDescent="0.6">
      <c r="C507" t="s">
        <v>1591</v>
      </c>
    </row>
    <row r="508" spans="2:4" x14ac:dyDescent="0.6">
      <c r="C508" t="s">
        <v>1592</v>
      </c>
    </row>
    <row r="509" spans="2:4" x14ac:dyDescent="0.6">
      <c r="C509" t="s">
        <v>1593</v>
      </c>
    </row>
    <row r="510" spans="2:4" x14ac:dyDescent="0.6">
      <c r="B510" t="s">
        <v>1594</v>
      </c>
    </row>
    <row r="511" spans="2:4" x14ac:dyDescent="0.6">
      <c r="C511" t="s">
        <v>1595</v>
      </c>
    </row>
    <row r="512" spans="2:4" x14ac:dyDescent="0.6">
      <c r="B512" t="s">
        <v>1600</v>
      </c>
    </row>
    <row r="513" spans="2:3" x14ac:dyDescent="0.6">
      <c r="C513" t="s">
        <v>1596</v>
      </c>
    </row>
    <row r="514" spans="2:3" x14ac:dyDescent="0.6">
      <c r="C514" t="s">
        <v>1597</v>
      </c>
    </row>
    <row r="515" spans="2:3" x14ac:dyDescent="0.6">
      <c r="C515" t="s">
        <v>1598</v>
      </c>
    </row>
    <row r="516" spans="2:3" x14ac:dyDescent="0.6">
      <c r="C516" t="s">
        <v>1599</v>
      </c>
    </row>
    <row r="517" spans="2:3" x14ac:dyDescent="0.6">
      <c r="B517" t="s">
        <v>1601</v>
      </c>
    </row>
    <row r="518" spans="2:3" x14ac:dyDescent="0.6">
      <c r="C518" t="s">
        <v>1602</v>
      </c>
    </row>
    <row r="519" spans="2:3" x14ac:dyDescent="0.6">
      <c r="C519" t="s">
        <v>1603</v>
      </c>
    </row>
    <row r="520" spans="2:3" x14ac:dyDescent="0.6">
      <c r="C520" t="s">
        <v>1604</v>
      </c>
    </row>
    <row r="521" spans="2:3" x14ac:dyDescent="0.6">
      <c r="C521" t="s">
        <v>1605</v>
      </c>
    </row>
    <row r="522" spans="2:3" x14ac:dyDescent="0.6">
      <c r="B522" t="s">
        <v>1534</v>
      </c>
    </row>
    <row r="523" spans="2:3" x14ac:dyDescent="0.6">
      <c r="C523" t="s">
        <v>1606</v>
      </c>
    </row>
    <row r="525" spans="2:3" x14ac:dyDescent="0.6">
      <c r="B525" s="499" t="s">
        <v>1616</v>
      </c>
    </row>
    <row r="527" spans="2:3" x14ac:dyDescent="0.6">
      <c r="B527" t="s">
        <v>1617</v>
      </c>
    </row>
    <row r="528" spans="2:3" x14ac:dyDescent="0.6">
      <c r="C528" t="s">
        <v>1630</v>
      </c>
    </row>
    <row r="529" spans="2:5" x14ac:dyDescent="0.6">
      <c r="D529" t="s">
        <v>1636</v>
      </c>
    </row>
    <row r="530" spans="2:5" x14ac:dyDescent="0.6">
      <c r="C530" t="s">
        <v>575</v>
      </c>
      <c r="D530" s="1095" t="s">
        <v>1637</v>
      </c>
    </row>
    <row r="531" spans="2:5" x14ac:dyDescent="0.6">
      <c r="D531" s="1095" t="s">
        <v>1638</v>
      </c>
    </row>
    <row r="532" spans="2:5" x14ac:dyDescent="0.6">
      <c r="D532" s="1095" t="s">
        <v>1639</v>
      </c>
    </row>
    <row r="533" spans="2:5" x14ac:dyDescent="0.6">
      <c r="D533" s="1095"/>
      <c r="E533" s="1095" t="s">
        <v>1667</v>
      </c>
    </row>
    <row r="534" spans="2:5" x14ac:dyDescent="0.6">
      <c r="D534" s="1095" t="s">
        <v>1640</v>
      </c>
    </row>
    <row r="535" spans="2:5" x14ac:dyDescent="0.6">
      <c r="D535" s="1095" t="s">
        <v>1641</v>
      </c>
    </row>
    <row r="536" spans="2:5" x14ac:dyDescent="0.6">
      <c r="C536" s="1095" t="s">
        <v>1642</v>
      </c>
      <c r="D536" s="1095"/>
      <c r="E536" s="1095"/>
    </row>
    <row r="537" spans="2:5" x14ac:dyDescent="0.6">
      <c r="C537" s="1095" t="s">
        <v>228</v>
      </c>
      <c r="D537" s="1095"/>
      <c r="E537" s="1095"/>
    </row>
    <row r="538" spans="2:5" x14ac:dyDescent="0.6">
      <c r="C538" s="1095"/>
      <c r="D538" s="1095" t="s">
        <v>1643</v>
      </c>
      <c r="E538" s="1095"/>
    </row>
    <row r="539" spans="2:5" x14ac:dyDescent="0.6">
      <c r="C539" s="1095"/>
      <c r="D539" s="1095" t="s">
        <v>1696</v>
      </c>
      <c r="E539" s="1095"/>
    </row>
    <row r="540" spans="2:5" x14ac:dyDescent="0.6">
      <c r="C540" s="1095"/>
      <c r="D540" s="1095" t="s">
        <v>1644</v>
      </c>
      <c r="E540" s="1095"/>
    </row>
    <row r="541" spans="2:5" x14ac:dyDescent="0.6">
      <c r="C541" t="s">
        <v>1631</v>
      </c>
    </row>
    <row r="542" spans="2:5" x14ac:dyDescent="0.6">
      <c r="C542" t="s">
        <v>1632</v>
      </c>
    </row>
    <row r="543" spans="2:5" x14ac:dyDescent="0.6">
      <c r="B543" t="s">
        <v>1618</v>
      </c>
    </row>
    <row r="544" spans="2:5" x14ac:dyDescent="0.6">
      <c r="C544" t="s">
        <v>1619</v>
      </c>
    </row>
    <row r="545" spans="3:5" x14ac:dyDescent="0.6">
      <c r="D545" s="1095" t="s">
        <v>1645</v>
      </c>
    </row>
    <row r="546" spans="3:5" x14ac:dyDescent="0.6">
      <c r="D546" s="1095"/>
    </row>
    <row r="547" spans="3:5" x14ac:dyDescent="0.6">
      <c r="D547" s="1095" t="s">
        <v>1646</v>
      </c>
    </row>
    <row r="548" spans="3:5" x14ac:dyDescent="0.6">
      <c r="D548" s="1095" t="s">
        <v>1647</v>
      </c>
    </row>
    <row r="549" spans="3:5" x14ac:dyDescent="0.6">
      <c r="D549" s="1095" t="s">
        <v>1648</v>
      </c>
    </row>
    <row r="550" spans="3:5" x14ac:dyDescent="0.6">
      <c r="C550" s="1095" t="s">
        <v>1649</v>
      </c>
      <c r="D550" s="1095"/>
    </row>
    <row r="551" spans="3:5" x14ac:dyDescent="0.6">
      <c r="C551" s="1095" t="s">
        <v>1662</v>
      </c>
      <c r="D551" s="1095" t="s">
        <v>1650</v>
      </c>
    </row>
    <row r="552" spans="3:5" x14ac:dyDescent="0.6">
      <c r="C552" s="1095"/>
      <c r="D552" s="1095" t="s">
        <v>1651</v>
      </c>
    </row>
    <row r="553" spans="3:5" x14ac:dyDescent="0.6">
      <c r="C553" s="1095"/>
      <c r="D553" s="1095"/>
      <c r="E553" s="1095" t="s">
        <v>1652</v>
      </c>
    </row>
    <row r="554" spans="3:5" x14ac:dyDescent="0.6">
      <c r="D554" s="1095"/>
      <c r="E554" s="1095" t="s">
        <v>1653</v>
      </c>
    </row>
    <row r="555" spans="3:5" x14ac:dyDescent="0.6">
      <c r="D555" s="1095"/>
      <c r="E555" s="1095" t="s">
        <v>1891</v>
      </c>
    </row>
    <row r="556" spans="3:5" x14ac:dyDescent="0.6">
      <c r="D556" s="1095"/>
      <c r="E556" s="1095" t="s">
        <v>1654</v>
      </c>
    </row>
    <row r="557" spans="3:5" x14ac:dyDescent="0.6">
      <c r="D557" s="1095"/>
      <c r="E557" s="1095" t="s">
        <v>1655</v>
      </c>
    </row>
    <row r="558" spans="3:5" x14ac:dyDescent="0.6">
      <c r="D558" s="1095"/>
      <c r="E558" s="1095" t="s">
        <v>1656</v>
      </c>
    </row>
    <row r="559" spans="3:5" x14ac:dyDescent="0.6">
      <c r="D559" s="1095" t="s">
        <v>1657</v>
      </c>
      <c r="E559" s="1095"/>
    </row>
    <row r="560" spans="3:5" x14ac:dyDescent="0.6">
      <c r="C560" s="1095" t="s">
        <v>871</v>
      </c>
      <c r="D560" s="1095"/>
      <c r="E560" s="1095"/>
    </row>
    <row r="561" spans="2:5" x14ac:dyDescent="0.6">
      <c r="C561" s="1095" t="s">
        <v>1663</v>
      </c>
      <c r="D561" s="1095" t="s">
        <v>1658</v>
      </c>
      <c r="E561" s="1095"/>
    </row>
    <row r="562" spans="2:5" x14ac:dyDescent="0.6">
      <c r="C562" s="1095" t="s">
        <v>1664</v>
      </c>
      <c r="D562" s="1095" t="s">
        <v>1659</v>
      </c>
      <c r="E562" s="1095"/>
    </row>
    <row r="563" spans="2:5" x14ac:dyDescent="0.6">
      <c r="C563" s="1095" t="s">
        <v>1665</v>
      </c>
      <c r="D563" s="1095" t="s">
        <v>1660</v>
      </c>
      <c r="E563" s="1095"/>
    </row>
    <row r="564" spans="2:5" x14ac:dyDescent="0.6">
      <c r="C564" s="1095" t="s">
        <v>1666</v>
      </c>
      <c r="D564" s="1095" t="s">
        <v>1661</v>
      </c>
      <c r="E564" s="1095"/>
    </row>
    <row r="565" spans="2:5" x14ac:dyDescent="0.6">
      <c r="C565" t="s">
        <v>1633</v>
      </c>
    </row>
    <row r="566" spans="2:5" x14ac:dyDescent="0.6">
      <c r="C566" t="s">
        <v>1620</v>
      </c>
    </row>
    <row r="567" spans="2:5" x14ac:dyDescent="0.6">
      <c r="B567" t="s">
        <v>1624</v>
      </c>
    </row>
    <row r="568" spans="2:5" x14ac:dyDescent="0.6">
      <c r="C568" t="s">
        <v>1625</v>
      </c>
    </row>
    <row r="569" spans="2:5" x14ac:dyDescent="0.6">
      <c r="B569" t="s">
        <v>1623</v>
      </c>
    </row>
    <row r="570" spans="2:5" x14ac:dyDescent="0.6">
      <c r="C570" t="s">
        <v>1628</v>
      </c>
    </row>
    <row r="571" spans="2:5" x14ac:dyDescent="0.6">
      <c r="C571" t="s">
        <v>1629</v>
      </c>
    </row>
    <row r="572" spans="2:5" x14ac:dyDescent="0.6">
      <c r="B572" t="s">
        <v>1622</v>
      </c>
    </row>
    <row r="574" spans="2:5" x14ac:dyDescent="0.6">
      <c r="B574" t="s">
        <v>229</v>
      </c>
    </row>
    <row r="575" spans="2:5" x14ac:dyDescent="0.6">
      <c r="C575" t="s">
        <v>1635</v>
      </c>
    </row>
    <row r="576" spans="2:5" x14ac:dyDescent="0.6">
      <c r="C576" t="s">
        <v>1634</v>
      </c>
    </row>
    <row r="577" spans="2:4" x14ac:dyDescent="0.6">
      <c r="B577" s="1095" t="s">
        <v>1668</v>
      </c>
    </row>
    <row r="578" spans="2:4" x14ac:dyDescent="0.6">
      <c r="C578" s="1095" t="s">
        <v>1669</v>
      </c>
    </row>
    <row r="579" spans="2:4" x14ac:dyDescent="0.6">
      <c r="C579" s="1095" t="s">
        <v>1670</v>
      </c>
    </row>
    <row r="580" spans="2:4" x14ac:dyDescent="0.6">
      <c r="C580" s="1095" t="s">
        <v>1671</v>
      </c>
    </row>
    <row r="581" spans="2:4" x14ac:dyDescent="0.6">
      <c r="C581" s="1095" t="s">
        <v>1672</v>
      </c>
    </row>
    <row r="582" spans="2:4" x14ac:dyDescent="0.6">
      <c r="D582" s="1095" t="s">
        <v>1673</v>
      </c>
    </row>
    <row r="583" spans="2:4" x14ac:dyDescent="0.6">
      <c r="B583" s="1095" t="s">
        <v>1674</v>
      </c>
    </row>
    <row r="584" spans="2:4" x14ac:dyDescent="0.6">
      <c r="C584" s="1095" t="s">
        <v>1675</v>
      </c>
    </row>
    <row r="585" spans="2:4" x14ac:dyDescent="0.6">
      <c r="C585" s="1095" t="s">
        <v>1676</v>
      </c>
    </row>
    <row r="586" spans="2:4" x14ac:dyDescent="0.6">
      <c r="C586" s="1095" t="s">
        <v>1677</v>
      </c>
    </row>
    <row r="588" spans="2:4" x14ac:dyDescent="0.6">
      <c r="C588" s="1095" t="s">
        <v>1678</v>
      </c>
    </row>
    <row r="589" spans="2:4" x14ac:dyDescent="0.6">
      <c r="C589" s="1095" t="s">
        <v>1679</v>
      </c>
    </row>
    <row r="590" spans="2:4" x14ac:dyDescent="0.6">
      <c r="C590" s="1095" t="s">
        <v>1680</v>
      </c>
    </row>
    <row r="591" spans="2:4" x14ac:dyDescent="0.6">
      <c r="C591" s="1095" t="s">
        <v>1681</v>
      </c>
    </row>
    <row r="592" spans="2:4" x14ac:dyDescent="0.6">
      <c r="C592" s="1095" t="s">
        <v>1682</v>
      </c>
    </row>
    <row r="593" spans="2:4" x14ac:dyDescent="0.6">
      <c r="B593" s="1095" t="s">
        <v>1197</v>
      </c>
      <c r="C593" s="1095" t="s">
        <v>575</v>
      </c>
    </row>
    <row r="594" spans="2:4" x14ac:dyDescent="0.6">
      <c r="C594" s="1095" t="s">
        <v>1683</v>
      </c>
    </row>
    <row r="595" spans="2:4" x14ac:dyDescent="0.6">
      <c r="C595" s="1095" t="s">
        <v>218</v>
      </c>
    </row>
    <row r="596" spans="2:4" x14ac:dyDescent="0.6">
      <c r="D596" s="1095" t="s">
        <v>1684</v>
      </c>
    </row>
    <row r="597" spans="2:4" x14ac:dyDescent="0.6">
      <c r="C597" s="1095" t="s">
        <v>345</v>
      </c>
      <c r="D597" s="1095"/>
    </row>
    <row r="598" spans="2:4" x14ac:dyDescent="0.6">
      <c r="D598" s="1095" t="s">
        <v>1685</v>
      </c>
    </row>
    <row r="599" spans="2:4" x14ac:dyDescent="0.6">
      <c r="D599" s="1095" t="s">
        <v>1686</v>
      </c>
    </row>
    <row r="600" spans="2:4" x14ac:dyDescent="0.6">
      <c r="D600" s="1095" t="s">
        <v>1687</v>
      </c>
    </row>
    <row r="601" spans="2:4" x14ac:dyDescent="0.6">
      <c r="D601" s="1095" t="s">
        <v>1688</v>
      </c>
    </row>
    <row r="602" spans="2:4" x14ac:dyDescent="0.6">
      <c r="B602" s="1095" t="s">
        <v>1689</v>
      </c>
      <c r="C602" t="s">
        <v>575</v>
      </c>
    </row>
    <row r="603" spans="2:4" x14ac:dyDescent="0.6">
      <c r="C603" s="1095" t="s">
        <v>1690</v>
      </c>
    </row>
    <row r="604" spans="2:4" x14ac:dyDescent="0.6">
      <c r="C604" s="1095" t="s">
        <v>1691</v>
      </c>
    </row>
    <row r="606" spans="2:4" x14ac:dyDescent="0.6">
      <c r="B606" s="499" t="s">
        <v>1760</v>
      </c>
    </row>
    <row r="608" spans="2:4" x14ac:dyDescent="0.6">
      <c r="B608" t="s">
        <v>1761</v>
      </c>
    </row>
    <row r="609" spans="2:3" x14ac:dyDescent="0.6">
      <c r="B609" t="s">
        <v>1762</v>
      </c>
    </row>
    <row r="610" spans="2:3" x14ac:dyDescent="0.6">
      <c r="B610" t="s">
        <v>1763</v>
      </c>
    </row>
    <row r="611" spans="2:3" x14ac:dyDescent="0.6">
      <c r="B611" t="s">
        <v>1764</v>
      </c>
    </row>
    <row r="612" spans="2:3" x14ac:dyDescent="0.6">
      <c r="C612" t="s">
        <v>1765</v>
      </c>
    </row>
    <row r="613" spans="2:3" x14ac:dyDescent="0.6">
      <c r="C613" t="s">
        <v>1766</v>
      </c>
    </row>
    <row r="614" spans="2:3" x14ac:dyDescent="0.6">
      <c r="C614" t="s">
        <v>1767</v>
      </c>
    </row>
    <row r="615" spans="2:3" x14ac:dyDescent="0.6">
      <c r="B615" t="s">
        <v>1768</v>
      </c>
    </row>
    <row r="616" spans="2:3" x14ac:dyDescent="0.6">
      <c r="B616" t="s">
        <v>1769</v>
      </c>
    </row>
    <row r="617" spans="2:3" x14ac:dyDescent="0.6">
      <c r="C617" t="s">
        <v>1770</v>
      </c>
    </row>
    <row r="618" spans="2:3" x14ac:dyDescent="0.6">
      <c r="B618" t="s">
        <v>1771</v>
      </c>
    </row>
    <row r="619" spans="2:3" x14ac:dyDescent="0.6">
      <c r="B619" t="s">
        <v>1772</v>
      </c>
    </row>
    <row r="620" spans="2:3" x14ac:dyDescent="0.6">
      <c r="C620" t="s">
        <v>1773</v>
      </c>
    </row>
    <row r="621" spans="2:3" x14ac:dyDescent="0.6">
      <c r="C621" t="s">
        <v>1774</v>
      </c>
    </row>
    <row r="622" spans="2:3" x14ac:dyDescent="0.6">
      <c r="C622" t="s">
        <v>1775</v>
      </c>
    </row>
    <row r="623" spans="2:3" x14ac:dyDescent="0.6">
      <c r="C623" t="s">
        <v>1776</v>
      </c>
    </row>
    <row r="624" spans="2:3" x14ac:dyDescent="0.6">
      <c r="C624" t="s">
        <v>1777</v>
      </c>
    </row>
    <row r="625" spans="2:4" x14ac:dyDescent="0.6">
      <c r="D625" t="s">
        <v>1778</v>
      </c>
    </row>
    <row r="626" spans="2:4" x14ac:dyDescent="0.6">
      <c r="D626" t="s">
        <v>1779</v>
      </c>
    </row>
    <row r="627" spans="2:4" x14ac:dyDescent="0.6">
      <c r="D627" t="s">
        <v>1780</v>
      </c>
    </row>
    <row r="628" spans="2:4" x14ac:dyDescent="0.6">
      <c r="B628" t="s">
        <v>1781</v>
      </c>
      <c r="C628" t="s">
        <v>1782</v>
      </c>
    </row>
    <row r="629" spans="2:4" x14ac:dyDescent="0.6">
      <c r="B629" t="s">
        <v>1085</v>
      </c>
    </row>
    <row r="630" spans="2:4" x14ac:dyDescent="0.6">
      <c r="C630" t="s">
        <v>1783</v>
      </c>
      <c r="D630" s="234">
        <f>1.8%*12</f>
        <v>0.21600000000000003</v>
      </c>
    </row>
    <row r="631" spans="2:4" x14ac:dyDescent="0.6">
      <c r="C631" t="s">
        <v>1784</v>
      </c>
      <c r="D631" s="234">
        <v>0.03</v>
      </c>
    </row>
    <row r="632" spans="2:4" x14ac:dyDescent="0.6">
      <c r="C632" t="s">
        <v>1785</v>
      </c>
      <c r="D632" s="234">
        <v>0.12</v>
      </c>
    </row>
    <row r="633" spans="2:4" x14ac:dyDescent="0.6">
      <c r="C633" t="s">
        <v>1786</v>
      </c>
    </row>
    <row r="634" spans="2:4" x14ac:dyDescent="0.6">
      <c r="B634" t="s">
        <v>1787</v>
      </c>
    </row>
    <row r="636" spans="2:4" x14ac:dyDescent="0.6">
      <c r="B636" s="499" t="s">
        <v>1016</v>
      </c>
    </row>
    <row r="638" spans="2:4" x14ac:dyDescent="0.6">
      <c r="B638" s="20" t="s">
        <v>1807</v>
      </c>
    </row>
    <row r="639" spans="2:4" x14ac:dyDescent="0.6">
      <c r="B639" s="20" t="s">
        <v>1811</v>
      </c>
    </row>
    <row r="640" spans="2:4" x14ac:dyDescent="0.6">
      <c r="C640" t="s">
        <v>1808</v>
      </c>
    </row>
    <row r="641" spans="2:3" x14ac:dyDescent="0.6">
      <c r="C641" t="s">
        <v>1809</v>
      </c>
    </row>
    <row r="642" spans="2:3" x14ac:dyDescent="0.6">
      <c r="C642" t="s">
        <v>1810</v>
      </c>
    </row>
    <row r="643" spans="2:3" x14ac:dyDescent="0.6">
      <c r="C643" t="s">
        <v>1812</v>
      </c>
    </row>
    <row r="644" spans="2:3" x14ac:dyDescent="0.6">
      <c r="C644" t="s">
        <v>1813</v>
      </c>
    </row>
    <row r="645" spans="2:3" x14ac:dyDescent="0.6">
      <c r="B645" s="20" t="s">
        <v>1814</v>
      </c>
    </row>
    <row r="646" spans="2:3" x14ac:dyDescent="0.6">
      <c r="C646" t="s">
        <v>1933</v>
      </c>
    </row>
    <row r="647" spans="2:3" x14ac:dyDescent="0.6">
      <c r="C647" t="s">
        <v>1931</v>
      </c>
    </row>
    <row r="648" spans="2:3" x14ac:dyDescent="0.6">
      <c r="C648" t="s">
        <v>1932</v>
      </c>
    </row>
    <row r="649" spans="2:3" x14ac:dyDescent="0.6">
      <c r="C649" t="s">
        <v>1815</v>
      </c>
    </row>
    <row r="650" spans="2:3" x14ac:dyDescent="0.6">
      <c r="C650" t="s">
        <v>1816</v>
      </c>
    </row>
    <row r="651" spans="2:3" x14ac:dyDescent="0.6">
      <c r="C651" t="s">
        <v>1818</v>
      </c>
    </row>
    <row r="652" spans="2:3" x14ac:dyDescent="0.6">
      <c r="C652" t="s">
        <v>1819</v>
      </c>
    </row>
    <row r="653" spans="2:3" x14ac:dyDescent="0.6">
      <c r="C653" t="s">
        <v>1817</v>
      </c>
    </row>
    <row r="654" spans="2:3" x14ac:dyDescent="0.6">
      <c r="C654" t="s">
        <v>1820</v>
      </c>
    </row>
    <row r="655" spans="2:3" x14ac:dyDescent="0.6">
      <c r="B655" s="20" t="s">
        <v>1821</v>
      </c>
    </row>
    <row r="656" spans="2:3" x14ac:dyDescent="0.6">
      <c r="C656" t="s">
        <v>1822</v>
      </c>
    </row>
    <row r="657" spans="2:4" x14ac:dyDescent="0.6">
      <c r="C657" t="s">
        <v>1823</v>
      </c>
    </row>
    <row r="658" spans="2:4" x14ac:dyDescent="0.6">
      <c r="C658" t="s">
        <v>1824</v>
      </c>
    </row>
    <row r="659" spans="2:4" x14ac:dyDescent="0.6">
      <c r="B659" s="20" t="s">
        <v>229</v>
      </c>
    </row>
    <row r="660" spans="2:4" x14ac:dyDescent="0.6">
      <c r="C660" t="s">
        <v>1825</v>
      </c>
    </row>
    <row r="661" spans="2:4" x14ac:dyDescent="0.6">
      <c r="C661" t="s">
        <v>1826</v>
      </c>
    </row>
    <row r="662" spans="2:4" x14ac:dyDescent="0.6">
      <c r="C662" t="s">
        <v>1827</v>
      </c>
    </row>
    <row r="663" spans="2:4" x14ac:dyDescent="0.6">
      <c r="D663" t="s">
        <v>1829</v>
      </c>
    </row>
    <row r="664" spans="2:4" x14ac:dyDescent="0.6">
      <c r="C664" t="s">
        <v>1828</v>
      </c>
    </row>
    <row r="665" spans="2:4" x14ac:dyDescent="0.6">
      <c r="C665" t="s">
        <v>1830</v>
      </c>
    </row>
    <row r="666" spans="2:4" x14ac:dyDescent="0.6">
      <c r="D666" t="s">
        <v>1831</v>
      </c>
    </row>
    <row r="667" spans="2:4" x14ac:dyDescent="0.6">
      <c r="D667" t="s">
        <v>1832</v>
      </c>
    </row>
    <row r="668" spans="2:4" x14ac:dyDescent="0.6">
      <c r="D668" t="s">
        <v>1833</v>
      </c>
    </row>
    <row r="669" spans="2:4" x14ac:dyDescent="0.6">
      <c r="C669" t="s">
        <v>1834</v>
      </c>
    </row>
    <row r="670" spans="2:4" x14ac:dyDescent="0.6">
      <c r="B670" s="20" t="s">
        <v>1835</v>
      </c>
    </row>
    <row r="671" spans="2:4" x14ac:dyDescent="0.6">
      <c r="C671" t="s">
        <v>1836</v>
      </c>
    </row>
    <row r="672" spans="2:4" x14ac:dyDescent="0.6">
      <c r="B672" s="20" t="s">
        <v>1837</v>
      </c>
    </row>
    <row r="673" spans="2:4" x14ac:dyDescent="0.6">
      <c r="B673" s="20"/>
      <c r="C673" t="s">
        <v>1838</v>
      </c>
    </row>
    <row r="674" spans="2:4" x14ac:dyDescent="0.6">
      <c r="C674" t="s">
        <v>1839</v>
      </c>
    </row>
    <row r="675" spans="2:4" x14ac:dyDescent="0.6">
      <c r="B675" s="20" t="s">
        <v>1840</v>
      </c>
    </row>
    <row r="676" spans="2:4" x14ac:dyDescent="0.6">
      <c r="C676" t="s">
        <v>1841</v>
      </c>
    </row>
    <row r="677" spans="2:4" x14ac:dyDescent="0.6">
      <c r="C677" t="s">
        <v>1842</v>
      </c>
    </row>
    <row r="678" spans="2:4" x14ac:dyDescent="0.6">
      <c r="D678" t="s">
        <v>1843</v>
      </c>
    </row>
    <row r="679" spans="2:4" x14ac:dyDescent="0.6">
      <c r="D679" t="s">
        <v>1844</v>
      </c>
    </row>
    <row r="680" spans="2:4" x14ac:dyDescent="0.6">
      <c r="B680" s="20" t="s">
        <v>1845</v>
      </c>
    </row>
    <row r="681" spans="2:4" x14ac:dyDescent="0.6">
      <c r="C681" t="s">
        <v>1846</v>
      </c>
    </row>
    <row r="682" spans="2:4" x14ac:dyDescent="0.6">
      <c r="C682" t="s">
        <v>1847</v>
      </c>
    </row>
    <row r="683" spans="2:4" x14ac:dyDescent="0.6">
      <c r="C683" t="s">
        <v>1848</v>
      </c>
    </row>
    <row r="684" spans="2:4" x14ac:dyDescent="0.6">
      <c r="C684" t="s">
        <v>1849</v>
      </c>
    </row>
    <row r="685" spans="2:4" x14ac:dyDescent="0.6">
      <c r="C685" t="s">
        <v>1850</v>
      </c>
    </row>
    <row r="686" spans="2:4" x14ac:dyDescent="0.6">
      <c r="B686" s="20" t="s">
        <v>1534</v>
      </c>
    </row>
    <row r="687" spans="2:4" x14ac:dyDescent="0.6">
      <c r="C687" t="s">
        <v>1851</v>
      </c>
    </row>
    <row r="688" spans="2:4" x14ac:dyDescent="0.6">
      <c r="D688" t="s">
        <v>1852</v>
      </c>
    </row>
    <row r="689" spans="2:4" x14ac:dyDescent="0.6">
      <c r="B689" s="20" t="s">
        <v>1853</v>
      </c>
    </row>
    <row r="690" spans="2:4" x14ac:dyDescent="0.6">
      <c r="B690" s="20"/>
      <c r="C690" t="s">
        <v>1862</v>
      </c>
    </row>
    <row r="691" spans="2:4" x14ac:dyDescent="0.6">
      <c r="C691" t="s">
        <v>1854</v>
      </c>
    </row>
    <row r="692" spans="2:4" x14ac:dyDescent="0.6">
      <c r="D692" t="s">
        <v>1855</v>
      </c>
    </row>
    <row r="693" spans="2:4" x14ac:dyDescent="0.6">
      <c r="C693" t="s">
        <v>1858</v>
      </c>
      <c r="D693" t="s">
        <v>1856</v>
      </c>
    </row>
    <row r="694" spans="2:4" x14ac:dyDescent="0.6">
      <c r="C694" t="s">
        <v>1859</v>
      </c>
      <c r="D694" t="s">
        <v>1857</v>
      </c>
    </row>
    <row r="695" spans="2:4" x14ac:dyDescent="0.6">
      <c r="B695" s="20" t="s">
        <v>1860</v>
      </c>
    </row>
    <row r="696" spans="2:4" x14ac:dyDescent="0.6">
      <c r="C696" t="s">
        <v>1861</v>
      </c>
    </row>
    <row r="697" spans="2:4" x14ac:dyDescent="0.6">
      <c r="B697" s="20" t="s">
        <v>1866</v>
      </c>
    </row>
    <row r="699" spans="2:4" x14ac:dyDescent="0.6">
      <c r="B699" s="20" t="s">
        <v>1863</v>
      </c>
    </row>
    <row r="700" spans="2:4" x14ac:dyDescent="0.6">
      <c r="B700" s="20"/>
      <c r="C700" t="s">
        <v>1876</v>
      </c>
    </row>
    <row r="701" spans="2:4" x14ac:dyDescent="0.6">
      <c r="B701" s="20"/>
      <c r="C701" t="s">
        <v>1877</v>
      </c>
    </row>
    <row r="703" spans="2:4" x14ac:dyDescent="0.6">
      <c r="B703" s="20" t="s">
        <v>1332</v>
      </c>
    </row>
    <row r="704" spans="2:4" x14ac:dyDescent="0.6">
      <c r="B704" s="20"/>
      <c r="C704" t="s">
        <v>1870</v>
      </c>
    </row>
    <row r="705" spans="2:4" x14ac:dyDescent="0.6">
      <c r="B705" s="20"/>
      <c r="D705" t="s">
        <v>1871</v>
      </c>
    </row>
    <row r="706" spans="2:4" x14ac:dyDescent="0.6">
      <c r="B706" s="20"/>
      <c r="D706" t="s">
        <v>1872</v>
      </c>
    </row>
    <row r="707" spans="2:4" x14ac:dyDescent="0.6">
      <c r="B707" s="20"/>
      <c r="D707" t="s">
        <v>1873</v>
      </c>
    </row>
    <row r="708" spans="2:4" x14ac:dyDescent="0.6">
      <c r="B708" s="20"/>
      <c r="D708" t="s">
        <v>1874</v>
      </c>
    </row>
    <row r="709" spans="2:4" x14ac:dyDescent="0.6">
      <c r="B709" s="20"/>
      <c r="D709" t="s">
        <v>1875</v>
      </c>
    </row>
    <row r="710" spans="2:4" x14ac:dyDescent="0.6">
      <c r="C710" t="s">
        <v>1864</v>
      </c>
    </row>
    <row r="711" spans="2:4" x14ac:dyDescent="0.6">
      <c r="C711" t="s">
        <v>1865</v>
      </c>
    </row>
    <row r="712" spans="2:4" x14ac:dyDescent="0.6">
      <c r="B712" s="20" t="s">
        <v>1867</v>
      </c>
    </row>
    <row r="713" spans="2:4" x14ac:dyDescent="0.6">
      <c r="C713" t="s">
        <v>1868</v>
      </c>
    </row>
    <row r="714" spans="2:4" x14ac:dyDescent="0.6">
      <c r="C714" t="s">
        <v>1869</v>
      </c>
    </row>
    <row r="715" spans="2:4" x14ac:dyDescent="0.6">
      <c r="B715" s="20" t="s">
        <v>338</v>
      </c>
    </row>
    <row r="716" spans="2:4" x14ac:dyDescent="0.6">
      <c r="C716" t="s">
        <v>1878</v>
      </c>
    </row>
    <row r="717" spans="2:4" x14ac:dyDescent="0.6">
      <c r="B717" s="20" t="s">
        <v>1476</v>
      </c>
    </row>
    <row r="718" spans="2:4" x14ac:dyDescent="0.6">
      <c r="C718" t="s">
        <v>1880</v>
      </c>
    </row>
    <row r="719" spans="2:4" x14ac:dyDescent="0.6">
      <c r="C719" t="s">
        <v>1881</v>
      </c>
    </row>
    <row r="720" spans="2:4" x14ac:dyDescent="0.6">
      <c r="B720" s="20" t="s">
        <v>1879</v>
      </c>
    </row>
    <row r="722" spans="2:8" x14ac:dyDescent="0.6">
      <c r="B722" s="499" t="s">
        <v>1913</v>
      </c>
    </row>
    <row r="724" spans="2:8" x14ac:dyDescent="0.6">
      <c r="B724" t="s">
        <v>449</v>
      </c>
    </row>
    <row r="726" spans="2:8" x14ac:dyDescent="0.6">
      <c r="C726" t="s">
        <v>993</v>
      </c>
      <c r="H726" t="s">
        <v>1937</v>
      </c>
    </row>
    <row r="727" spans="2:8" x14ac:dyDescent="0.6">
      <c r="C727" t="s">
        <v>1924</v>
      </c>
      <c r="D727" s="19" t="s">
        <v>1923</v>
      </c>
      <c r="E727" s="19" t="s">
        <v>1218</v>
      </c>
    </row>
    <row r="728" spans="2:8" x14ac:dyDescent="0.6">
      <c r="C728" t="s">
        <v>1935</v>
      </c>
      <c r="D728" s="86">
        <f>Quarts!S288-Quarts!R288</f>
        <v>6332.0600000000049</v>
      </c>
      <c r="E728" s="86">
        <f>Quarts!T288-Quarts!S288</f>
        <v>6654.2291199999891</v>
      </c>
    </row>
    <row r="729" spans="2:8" x14ac:dyDescent="0.6">
      <c r="C729" s="84" t="s">
        <v>1936</v>
      </c>
      <c r="D729" s="358">
        <v>100</v>
      </c>
      <c r="E729" s="874">
        <v>300</v>
      </c>
    </row>
    <row r="730" spans="2:8" x14ac:dyDescent="0.6">
      <c r="D730" s="86">
        <f>D728-D729</f>
        <v>6232.0600000000049</v>
      </c>
      <c r="E730" s="86">
        <f>E728-E729</f>
        <v>6354.2291199999891</v>
      </c>
    </row>
    <row r="731" spans="2:8" x14ac:dyDescent="0.6">
      <c r="C731" s="1095" t="s">
        <v>1940</v>
      </c>
      <c r="D731" s="86"/>
      <c r="E731" s="86"/>
    </row>
    <row r="732" spans="2:8" x14ac:dyDescent="0.6">
      <c r="C732" s="1095" t="s">
        <v>1938</v>
      </c>
      <c r="D732" s="86"/>
      <c r="E732" s="86"/>
    </row>
    <row r="733" spans="2:8" x14ac:dyDescent="0.6">
      <c r="C733" s="1095" t="s">
        <v>1939</v>
      </c>
      <c r="D733" s="86"/>
      <c r="E733" s="86"/>
    </row>
    <row r="734" spans="2:8" x14ac:dyDescent="0.6">
      <c r="C734" s="1095" t="s">
        <v>228</v>
      </c>
      <c r="D734" s="86"/>
      <c r="E734" s="86"/>
    </row>
    <row r="735" spans="2:8" x14ac:dyDescent="0.6">
      <c r="C735" s="1095"/>
      <c r="D735" s="1095" t="s">
        <v>1941</v>
      </c>
      <c r="E735" s="86"/>
    </row>
    <row r="736" spans="2:8" x14ac:dyDescent="0.6">
      <c r="C736" s="1095"/>
      <c r="D736" s="1158" t="s">
        <v>421</v>
      </c>
      <c r="E736" s="86"/>
    </row>
    <row r="737" spans="3:5" x14ac:dyDescent="0.6">
      <c r="C737" s="1095"/>
      <c r="D737" s="1158"/>
      <c r="E737" s="86"/>
    </row>
    <row r="738" spans="3:5" x14ac:dyDescent="0.6">
      <c r="D738" s="86" t="s">
        <v>1925</v>
      </c>
      <c r="E738" s="86"/>
    </row>
    <row r="739" spans="3:5" x14ac:dyDescent="0.6">
      <c r="C739" t="s">
        <v>419</v>
      </c>
      <c r="D739" s="86"/>
      <c r="E739" s="86"/>
    </row>
    <row r="740" spans="3:5" x14ac:dyDescent="0.6">
      <c r="D740" s="86" t="s">
        <v>1934</v>
      </c>
      <c r="E740" s="86"/>
    </row>
    <row r="741" spans="3:5" x14ac:dyDescent="0.6">
      <c r="D741" t="s">
        <v>1926</v>
      </c>
    </row>
    <row r="742" spans="3:5" x14ac:dyDescent="0.6">
      <c r="D742" s="86" t="s">
        <v>1928</v>
      </c>
    </row>
    <row r="743" spans="3:5" x14ac:dyDescent="0.6">
      <c r="D743" s="1095" t="s">
        <v>1942</v>
      </c>
    </row>
    <row r="744" spans="3:5" x14ac:dyDescent="0.6">
      <c r="D744" s="1095" t="s">
        <v>1943</v>
      </c>
    </row>
    <row r="745" spans="3:5" x14ac:dyDescent="0.6">
      <c r="D745" s="1095" t="s">
        <v>1944</v>
      </c>
      <c r="E745" s="1095" t="s">
        <v>1945</v>
      </c>
    </row>
    <row r="746" spans="3:5" x14ac:dyDescent="0.6">
      <c r="D746" s="1095"/>
      <c r="E746" s="1095" t="s">
        <v>1974</v>
      </c>
    </row>
    <row r="747" spans="3:5" x14ac:dyDescent="0.6">
      <c r="D747" s="1095" t="s">
        <v>1947</v>
      </c>
      <c r="E747" s="1095" t="s">
        <v>1946</v>
      </c>
    </row>
    <row r="748" spans="3:5" x14ac:dyDescent="0.6">
      <c r="D748" s="1095"/>
      <c r="E748" s="1095" t="s">
        <v>419</v>
      </c>
    </row>
    <row r="749" spans="3:5" x14ac:dyDescent="0.6">
      <c r="D749" s="1095"/>
      <c r="E749" s="1095"/>
    </row>
    <row r="750" spans="3:5" x14ac:dyDescent="0.6">
      <c r="D750" s="1095" t="s">
        <v>1949</v>
      </c>
      <c r="E750" s="1095" t="s">
        <v>1950</v>
      </c>
    </row>
    <row r="751" spans="3:5" x14ac:dyDescent="0.6">
      <c r="D751" s="1095" t="s">
        <v>1948</v>
      </c>
      <c r="E751" s="1095"/>
    </row>
    <row r="752" spans="3:5" x14ac:dyDescent="0.6">
      <c r="C752" t="s">
        <v>1879</v>
      </c>
    </row>
    <row r="754" spans="2:6" x14ac:dyDescent="0.6">
      <c r="B754" s="1095" t="s">
        <v>1951</v>
      </c>
    </row>
    <row r="755" spans="2:6" x14ac:dyDescent="0.6">
      <c r="B755" s="1095"/>
      <c r="C755" s="1095" t="s">
        <v>1953</v>
      </c>
    </row>
    <row r="756" spans="2:6" x14ac:dyDescent="0.6">
      <c r="B756" s="1095"/>
      <c r="C756" s="1095"/>
      <c r="D756" s="1095" t="s">
        <v>1956</v>
      </c>
    </row>
    <row r="757" spans="2:6" x14ac:dyDescent="0.6">
      <c r="B757" s="1095"/>
      <c r="C757" s="1095"/>
      <c r="D757" s="1095" t="s">
        <v>1957</v>
      </c>
    </row>
    <row r="758" spans="2:6" x14ac:dyDescent="0.6">
      <c r="B758" s="1095"/>
      <c r="C758" s="1095" t="s">
        <v>1955</v>
      </c>
    </row>
    <row r="759" spans="2:6" x14ac:dyDescent="0.6">
      <c r="B759" s="1095"/>
      <c r="C759" s="1095" t="s">
        <v>1952</v>
      </c>
    </row>
    <row r="760" spans="2:6" x14ac:dyDescent="0.6">
      <c r="B760" s="1095"/>
      <c r="C760" s="1095" t="s">
        <v>1954</v>
      </c>
    </row>
    <row r="761" spans="2:6" x14ac:dyDescent="0.6">
      <c r="B761" s="1095" t="s">
        <v>1958</v>
      </c>
      <c r="C761" s="1095"/>
    </row>
    <row r="762" spans="2:6" x14ac:dyDescent="0.6">
      <c r="B762" s="1095" t="s">
        <v>1959</v>
      </c>
      <c r="C762" s="1095"/>
    </row>
    <row r="763" spans="2:6" x14ac:dyDescent="0.6">
      <c r="B763" s="1095"/>
      <c r="C763" s="1095" t="s">
        <v>1960</v>
      </c>
    </row>
    <row r="764" spans="2:6" x14ac:dyDescent="0.6">
      <c r="B764" t="s">
        <v>1915</v>
      </c>
    </row>
    <row r="765" spans="2:6" x14ac:dyDescent="0.6">
      <c r="C765" t="s">
        <v>1914</v>
      </c>
      <c r="D765" s="1155">
        <f>Quarts!T134</f>
        <v>2127</v>
      </c>
    </row>
    <row r="766" spans="2:6" x14ac:dyDescent="0.6">
      <c r="C766" s="1155"/>
      <c r="D766">
        <v>2025</v>
      </c>
      <c r="E766" s="19" t="s">
        <v>1706</v>
      </c>
    </row>
    <row r="767" spans="2:6" x14ac:dyDescent="0.6">
      <c r="C767" s="83" t="str">
        <f>Quarts!R144</f>
        <v>CET 1</v>
      </c>
      <c r="D767" s="279">
        <f>Quarts!R147</f>
        <v>2.5000000000000001E-2</v>
      </c>
      <c r="E767" s="361" t="e">
        <f>Quarts!#REF!</f>
        <v>#REF!</v>
      </c>
      <c r="F767" t="s">
        <v>1793</v>
      </c>
    </row>
    <row r="768" spans="2:6" x14ac:dyDescent="0.6">
      <c r="C768" s="83" t="s">
        <v>501</v>
      </c>
      <c r="D768" s="279">
        <f>Quarts!S147</f>
        <v>8.5000000000000006E-2</v>
      </c>
      <c r="E768" s="361" t="e">
        <f>Quarts!#REF!</f>
        <v>#REF!</v>
      </c>
      <c r="F768" t="s">
        <v>1920</v>
      </c>
    </row>
    <row r="769" spans="2:5" x14ac:dyDescent="0.6">
      <c r="C769" t="s">
        <v>1911</v>
      </c>
      <c r="D769" s="279">
        <f>Quarts!T147</f>
        <v>0.105</v>
      </c>
      <c r="E769" s="361" t="e">
        <f>Quarts!#REF!</f>
        <v>#REF!</v>
      </c>
    </row>
    <row r="770" spans="2:5" x14ac:dyDescent="0.6">
      <c r="B770" t="s">
        <v>1916</v>
      </c>
    </row>
    <row r="771" spans="2:5" x14ac:dyDescent="0.6">
      <c r="C771" t="s">
        <v>1917</v>
      </c>
    </row>
    <row r="772" spans="2:5" x14ac:dyDescent="0.6">
      <c r="C772" t="s">
        <v>1918</v>
      </c>
    </row>
    <row r="773" spans="2:5" x14ac:dyDescent="0.6">
      <c r="C773" s="1095" t="s">
        <v>1961</v>
      </c>
    </row>
    <row r="774" spans="2:5" x14ac:dyDescent="0.6">
      <c r="C774" s="1095" t="s">
        <v>1962</v>
      </c>
    </row>
    <row r="775" spans="2:5" x14ac:dyDescent="0.6">
      <c r="C775" s="1095" t="s">
        <v>1963</v>
      </c>
    </row>
    <row r="776" spans="2:5" x14ac:dyDescent="0.6">
      <c r="B776" t="s">
        <v>1929</v>
      </c>
    </row>
    <row r="777" spans="2:5" x14ac:dyDescent="0.6">
      <c r="C777" t="s">
        <v>1930</v>
      </c>
    </row>
    <row r="778" spans="2:5" x14ac:dyDescent="0.6">
      <c r="C778" s="1095" t="s">
        <v>1964</v>
      </c>
    </row>
    <row r="779" spans="2:5" x14ac:dyDescent="0.6">
      <c r="C779" s="1095" t="s">
        <v>1965</v>
      </c>
    </row>
    <row r="780" spans="2:5" x14ac:dyDescent="0.6">
      <c r="C780" s="1095" t="s">
        <v>1966</v>
      </c>
    </row>
    <row r="781" spans="2:5" x14ac:dyDescent="0.6">
      <c r="C781" s="1095" t="s">
        <v>1967</v>
      </c>
    </row>
    <row r="782" spans="2:5" x14ac:dyDescent="0.6">
      <c r="C782" s="1095" t="s">
        <v>1968</v>
      </c>
    </row>
    <row r="783" spans="2:5" x14ac:dyDescent="0.6">
      <c r="C783" s="1095"/>
      <c r="D783" s="1095" t="s">
        <v>1969</v>
      </c>
    </row>
    <row r="784" spans="2:5" x14ac:dyDescent="0.6">
      <c r="C784" s="1095" t="s">
        <v>1970</v>
      </c>
      <c r="D784" s="1095"/>
    </row>
    <row r="785" spans="2:4" x14ac:dyDescent="0.6">
      <c r="C785" s="1095"/>
      <c r="D785" s="1095" t="s">
        <v>1971</v>
      </c>
    </row>
    <row r="786" spans="2:4" x14ac:dyDescent="0.6">
      <c r="C786" s="1095"/>
      <c r="D786" s="1095" t="s">
        <v>1972</v>
      </c>
    </row>
    <row r="787" spans="2:4" x14ac:dyDescent="0.6">
      <c r="C787" s="1095"/>
      <c r="D787" s="1095" t="s">
        <v>1973</v>
      </c>
    </row>
    <row r="788" spans="2:4" x14ac:dyDescent="0.6">
      <c r="C788" s="1095"/>
      <c r="D788" s="1095"/>
    </row>
    <row r="789" spans="2:4" x14ac:dyDescent="0.6">
      <c r="B789" t="s">
        <v>1919</v>
      </c>
    </row>
    <row r="791" spans="2:4" x14ac:dyDescent="0.6">
      <c r="B791" t="s">
        <v>1927</v>
      </c>
    </row>
    <row r="793" spans="2:4" x14ac:dyDescent="0.6">
      <c r="B793" s="1095" t="s">
        <v>1218</v>
      </c>
    </row>
    <row r="794" spans="2:4" x14ac:dyDescent="0.6">
      <c r="C794" s="1095" t="s">
        <v>1975</v>
      </c>
    </row>
    <row r="795" spans="2:4" x14ac:dyDescent="0.6">
      <c r="C795" s="1095" t="s">
        <v>1976</v>
      </c>
    </row>
    <row r="797" spans="2:4" x14ac:dyDescent="0.6">
      <c r="B797" s="499" t="s">
        <v>2057</v>
      </c>
    </row>
    <row r="799" spans="2:4" x14ac:dyDescent="0.6">
      <c r="B799" t="s">
        <v>2059</v>
      </c>
    </row>
    <row r="800" spans="2:4" x14ac:dyDescent="0.6">
      <c r="C800" t="s">
        <v>2065</v>
      </c>
    </row>
    <row r="801" spans="2:4" x14ac:dyDescent="0.6">
      <c r="D801" t="s">
        <v>2066</v>
      </c>
    </row>
    <row r="802" spans="2:4" x14ac:dyDescent="0.6">
      <c r="D802" t="s">
        <v>2067</v>
      </c>
    </row>
    <row r="803" spans="2:4" x14ac:dyDescent="0.6">
      <c r="D803" t="s">
        <v>2068</v>
      </c>
    </row>
    <row r="804" spans="2:4" x14ac:dyDescent="0.6">
      <c r="C804" t="s">
        <v>345</v>
      </c>
    </row>
    <row r="805" spans="2:4" x14ac:dyDescent="0.6">
      <c r="D805" t="s">
        <v>2070</v>
      </c>
    </row>
    <row r="806" spans="2:4" x14ac:dyDescent="0.6">
      <c r="B806" t="s">
        <v>2058</v>
      </c>
    </row>
    <row r="807" spans="2:4" x14ac:dyDescent="0.6">
      <c r="C807" t="s">
        <v>2069</v>
      </c>
    </row>
    <row r="808" spans="2:4" x14ac:dyDescent="0.6">
      <c r="D808" t="s">
        <v>2071</v>
      </c>
    </row>
    <row r="809" spans="2:4" x14ac:dyDescent="0.6">
      <c r="D809" t="s">
        <v>2072</v>
      </c>
    </row>
    <row r="810" spans="2:4" x14ac:dyDescent="0.6">
      <c r="B810" t="s">
        <v>1837</v>
      </c>
    </row>
    <row r="811" spans="2:4" x14ac:dyDescent="0.6">
      <c r="C811" t="s">
        <v>2073</v>
      </c>
    </row>
    <row r="812" spans="2:4" x14ac:dyDescent="0.6">
      <c r="C812" t="s">
        <v>2074</v>
      </c>
    </row>
    <row r="813" spans="2:4" x14ac:dyDescent="0.6">
      <c r="C813" t="s">
        <v>2075</v>
      </c>
    </row>
    <row r="814" spans="2:4" x14ac:dyDescent="0.6">
      <c r="D814" t="s">
        <v>2077</v>
      </c>
    </row>
    <row r="815" spans="2:4" x14ac:dyDescent="0.6">
      <c r="C815" t="s">
        <v>2076</v>
      </c>
    </row>
    <row r="816" spans="2:4" x14ac:dyDescent="0.6">
      <c r="B816" t="s">
        <v>2062</v>
      </c>
    </row>
    <row r="817" spans="2:3" x14ac:dyDescent="0.6">
      <c r="C817" t="s">
        <v>2078</v>
      </c>
    </row>
    <row r="818" spans="2:3" x14ac:dyDescent="0.6">
      <c r="C818" t="s">
        <v>2079</v>
      </c>
    </row>
    <row r="819" spans="2:3" x14ac:dyDescent="0.6">
      <c r="C819" t="s">
        <v>2080</v>
      </c>
    </row>
    <row r="820" spans="2:3" x14ac:dyDescent="0.6">
      <c r="B820" t="s">
        <v>2064</v>
      </c>
    </row>
    <row r="821" spans="2:3" x14ac:dyDescent="0.6">
      <c r="C821" t="s">
        <v>2084</v>
      </c>
    </row>
    <row r="822" spans="2:3" x14ac:dyDescent="0.6">
      <c r="C822" t="s">
        <v>2085</v>
      </c>
    </row>
    <row r="823" spans="2:3" x14ac:dyDescent="0.6">
      <c r="C823" t="s">
        <v>2086</v>
      </c>
    </row>
    <row r="824" spans="2:3" x14ac:dyDescent="0.6">
      <c r="C824" t="s">
        <v>2087</v>
      </c>
    </row>
    <row r="825" spans="2:3" x14ac:dyDescent="0.6">
      <c r="B825" t="s">
        <v>2060</v>
      </c>
    </row>
    <row r="826" spans="2:3" x14ac:dyDescent="0.6">
      <c r="B826" t="s">
        <v>2063</v>
      </c>
    </row>
    <row r="827" spans="2:3" x14ac:dyDescent="0.6">
      <c r="C827" t="s">
        <v>2081</v>
      </c>
    </row>
    <row r="828" spans="2:3" x14ac:dyDescent="0.6">
      <c r="C828" t="s">
        <v>2082</v>
      </c>
    </row>
    <row r="829" spans="2:3" x14ac:dyDescent="0.6">
      <c r="C829" t="s">
        <v>2083</v>
      </c>
    </row>
    <row r="830" spans="2:3" x14ac:dyDescent="0.6">
      <c r="B830" t="s">
        <v>2061</v>
      </c>
    </row>
    <row r="832" spans="2:3" x14ac:dyDescent="0.6">
      <c r="B832" t="s">
        <v>2088</v>
      </c>
    </row>
    <row r="833" spans="2:4" x14ac:dyDescent="0.6">
      <c r="C833" t="s">
        <v>2089</v>
      </c>
    </row>
    <row r="834" spans="2:4" x14ac:dyDescent="0.6">
      <c r="C834" t="s">
        <v>2090</v>
      </c>
    </row>
    <row r="836" spans="2:4" x14ac:dyDescent="0.6">
      <c r="C836" t="s">
        <v>2091</v>
      </c>
    </row>
    <row r="837" spans="2:4" x14ac:dyDescent="0.6">
      <c r="D837" t="s">
        <v>2092</v>
      </c>
    </row>
    <row r="838" spans="2:4" x14ac:dyDescent="0.6">
      <c r="D838" t="s">
        <v>2093</v>
      </c>
    </row>
    <row r="839" spans="2:4" x14ac:dyDescent="0.6">
      <c r="C839" t="s">
        <v>2094</v>
      </c>
    </row>
    <row r="840" spans="2:4" x14ac:dyDescent="0.6">
      <c r="D840" t="s">
        <v>2095</v>
      </c>
    </row>
    <row r="841" spans="2:4" x14ac:dyDescent="0.6">
      <c r="D841" t="s">
        <v>2096</v>
      </c>
    </row>
    <row r="842" spans="2:4" x14ac:dyDescent="0.6">
      <c r="D842" t="s">
        <v>2097</v>
      </c>
    </row>
    <row r="843" spans="2:4" x14ac:dyDescent="0.6">
      <c r="D843" t="s">
        <v>2098</v>
      </c>
    </row>
    <row r="844" spans="2:4" x14ac:dyDescent="0.6">
      <c r="C844" t="s">
        <v>2099</v>
      </c>
    </row>
    <row r="846" spans="2:4" x14ac:dyDescent="0.6">
      <c r="B846" s="499" t="s">
        <v>2107</v>
      </c>
    </row>
    <row r="848" spans="2:4" x14ac:dyDescent="0.6">
      <c r="B848" t="s">
        <v>2110</v>
      </c>
    </row>
    <row r="849" spans="2:4" x14ac:dyDescent="0.6">
      <c r="C849" t="s">
        <v>2111</v>
      </c>
    </row>
    <row r="850" spans="2:4" x14ac:dyDescent="0.6">
      <c r="D850" t="s">
        <v>2112</v>
      </c>
    </row>
    <row r="851" spans="2:4" x14ac:dyDescent="0.6">
      <c r="D851" t="s">
        <v>2113</v>
      </c>
    </row>
    <row r="852" spans="2:4" x14ac:dyDescent="0.6">
      <c r="C852" t="s">
        <v>2114</v>
      </c>
    </row>
    <row r="853" spans="2:4" x14ac:dyDescent="0.6">
      <c r="C853" t="s">
        <v>2115</v>
      </c>
    </row>
    <row r="854" spans="2:4" x14ac:dyDescent="0.6">
      <c r="C854" t="s">
        <v>229</v>
      </c>
    </row>
    <row r="855" spans="2:4" x14ac:dyDescent="0.6">
      <c r="D855" t="s">
        <v>2116</v>
      </c>
    </row>
    <row r="856" spans="2:4" x14ac:dyDescent="0.6">
      <c r="D856" t="s">
        <v>2117</v>
      </c>
    </row>
    <row r="857" spans="2:4" x14ac:dyDescent="0.6">
      <c r="B857" t="s">
        <v>2118</v>
      </c>
    </row>
    <row r="858" spans="2:4" x14ac:dyDescent="0.6">
      <c r="C858" t="s">
        <v>2119</v>
      </c>
    </row>
    <row r="859" spans="2:4" x14ac:dyDescent="0.6">
      <c r="C859" t="s">
        <v>2120</v>
      </c>
    </row>
    <row r="860" spans="2:4" x14ac:dyDescent="0.6">
      <c r="B860" t="s">
        <v>2121</v>
      </c>
    </row>
    <row r="861" spans="2:4" x14ac:dyDescent="0.6">
      <c r="C861" t="s">
        <v>2122</v>
      </c>
    </row>
    <row r="862" spans="2:4" x14ac:dyDescent="0.6">
      <c r="C862" t="s">
        <v>2123</v>
      </c>
    </row>
    <row r="863" spans="2:4" x14ac:dyDescent="0.6">
      <c r="C863" t="s">
        <v>2124</v>
      </c>
    </row>
    <row r="864" spans="2:4" x14ac:dyDescent="0.6">
      <c r="C864" t="s">
        <v>2125</v>
      </c>
    </row>
    <row r="865" spans="2:4" x14ac:dyDescent="0.6">
      <c r="D865" t="s">
        <v>2126</v>
      </c>
    </row>
    <row r="866" spans="2:4" x14ac:dyDescent="0.6">
      <c r="D866" t="s">
        <v>2127</v>
      </c>
    </row>
    <row r="867" spans="2:4" x14ac:dyDescent="0.6">
      <c r="D867" t="s">
        <v>2128</v>
      </c>
    </row>
    <row r="868" spans="2:4" x14ac:dyDescent="0.6">
      <c r="C868" t="s">
        <v>2129</v>
      </c>
    </row>
    <row r="869" spans="2:4" x14ac:dyDescent="0.6">
      <c r="D869" t="s">
        <v>2130</v>
      </c>
    </row>
    <row r="870" spans="2:4" x14ac:dyDescent="0.6">
      <c r="C870" t="s">
        <v>2131</v>
      </c>
    </row>
    <row r="871" spans="2:4" x14ac:dyDescent="0.6">
      <c r="D871" t="s">
        <v>2132</v>
      </c>
    </row>
    <row r="872" spans="2:4" x14ac:dyDescent="0.6">
      <c r="C872" t="s">
        <v>2133</v>
      </c>
    </row>
    <row r="873" spans="2:4" x14ac:dyDescent="0.6">
      <c r="B873" t="s">
        <v>2134</v>
      </c>
    </row>
    <row r="874" spans="2:4" x14ac:dyDescent="0.6">
      <c r="C874" t="s">
        <v>2135</v>
      </c>
    </row>
    <row r="875" spans="2:4" x14ac:dyDescent="0.6">
      <c r="B875" t="s">
        <v>1088</v>
      </c>
    </row>
    <row r="876" spans="2:4" x14ac:dyDescent="0.6">
      <c r="C876" t="s">
        <v>2136</v>
      </c>
    </row>
    <row r="877" spans="2:4" x14ac:dyDescent="0.6">
      <c r="C877" t="s">
        <v>2137</v>
      </c>
    </row>
    <row r="878" spans="2:4" x14ac:dyDescent="0.6">
      <c r="C878" t="s">
        <v>2138</v>
      </c>
    </row>
    <row r="879" spans="2:4" x14ac:dyDescent="0.6">
      <c r="B879" t="s">
        <v>2139</v>
      </c>
    </row>
    <row r="880" spans="2:4" x14ac:dyDescent="0.6">
      <c r="C880" t="s">
        <v>2140</v>
      </c>
    </row>
    <row r="881" spans="2:6" x14ac:dyDescent="0.6">
      <c r="C881" t="s">
        <v>2141</v>
      </c>
    </row>
    <row r="882" spans="2:6" x14ac:dyDescent="0.6">
      <c r="C882" t="s">
        <v>2142</v>
      </c>
    </row>
    <row r="883" spans="2:6" x14ac:dyDescent="0.6">
      <c r="B883" t="s">
        <v>678</v>
      </c>
    </row>
    <row r="884" spans="2:6" x14ac:dyDescent="0.6">
      <c r="C884" t="s">
        <v>2143</v>
      </c>
    </row>
    <row r="885" spans="2:6" x14ac:dyDescent="0.6">
      <c r="B885" t="s">
        <v>1983</v>
      </c>
    </row>
    <row r="886" spans="2:6" x14ac:dyDescent="0.6">
      <c r="C886" t="s">
        <v>2144</v>
      </c>
    </row>
    <row r="887" spans="2:6" x14ac:dyDescent="0.6">
      <c r="C887" t="s">
        <v>2145</v>
      </c>
    </row>
    <row r="888" spans="2:6" x14ac:dyDescent="0.6">
      <c r="D888" t="s">
        <v>2146</v>
      </c>
    </row>
    <row r="889" spans="2:6" x14ac:dyDescent="0.6">
      <c r="D889" t="s">
        <v>2147</v>
      </c>
    </row>
    <row r="890" spans="2:6" x14ac:dyDescent="0.6">
      <c r="E890" t="s">
        <v>2148</v>
      </c>
    </row>
    <row r="891" spans="2:6" x14ac:dyDescent="0.6">
      <c r="E891" t="s">
        <v>2149</v>
      </c>
    </row>
    <row r="892" spans="2:6" x14ac:dyDescent="0.6">
      <c r="C892" t="s">
        <v>2150</v>
      </c>
    </row>
    <row r="893" spans="2:6" x14ac:dyDescent="0.6">
      <c r="D893" t="s">
        <v>2151</v>
      </c>
    </row>
    <row r="894" spans="2:6" x14ac:dyDescent="0.6">
      <c r="E894" t="s">
        <v>1947</v>
      </c>
    </row>
    <row r="895" spans="2:6" x14ac:dyDescent="0.6">
      <c r="E895" t="s">
        <v>2155</v>
      </c>
    </row>
    <row r="896" spans="2:6" x14ac:dyDescent="0.6">
      <c r="F896" t="s">
        <v>2156</v>
      </c>
    </row>
    <row r="897" spans="2:6" x14ac:dyDescent="0.6">
      <c r="E897" t="s">
        <v>2157</v>
      </c>
    </row>
    <row r="898" spans="2:6" x14ac:dyDescent="0.6">
      <c r="F898" t="s">
        <v>2158</v>
      </c>
    </row>
    <row r="899" spans="2:6" x14ac:dyDescent="0.6">
      <c r="D899" t="s">
        <v>1949</v>
      </c>
    </row>
    <row r="900" spans="2:6" x14ac:dyDescent="0.6">
      <c r="D900" s="234"/>
      <c r="E900" t="s">
        <v>2152</v>
      </c>
    </row>
    <row r="901" spans="2:6" x14ac:dyDescent="0.6">
      <c r="D901" t="s">
        <v>2153</v>
      </c>
    </row>
    <row r="902" spans="2:6" x14ac:dyDescent="0.6">
      <c r="E902" s="234">
        <v>0.1</v>
      </c>
    </row>
    <row r="903" spans="2:6" x14ac:dyDescent="0.6">
      <c r="D903" t="s">
        <v>2154</v>
      </c>
    </row>
    <row r="905" spans="2:6" x14ac:dyDescent="0.6">
      <c r="B905" s="411" t="s">
        <v>2160</v>
      </c>
    </row>
    <row r="907" spans="2:6" x14ac:dyDescent="0.6">
      <c r="C907" t="s">
        <v>2161</v>
      </c>
    </row>
    <row r="908" spans="2:6" x14ac:dyDescent="0.6">
      <c r="C908" t="s">
        <v>2162</v>
      </c>
    </row>
    <row r="909" spans="2:6" x14ac:dyDescent="0.6">
      <c r="C909" t="s">
        <v>2163</v>
      </c>
      <c r="D909" t="s">
        <v>2165</v>
      </c>
    </row>
    <row r="910" spans="2:6" x14ac:dyDescent="0.6">
      <c r="C910" t="s">
        <v>2164</v>
      </c>
      <c r="D910" t="s">
        <v>2166</v>
      </c>
    </row>
    <row r="911" spans="2:6" x14ac:dyDescent="0.6">
      <c r="D911" t="s">
        <v>2167</v>
      </c>
    </row>
    <row r="912" spans="2:6" x14ac:dyDescent="0.6">
      <c r="C912" t="s">
        <v>2168</v>
      </c>
    </row>
    <row r="913" spans="3:7" x14ac:dyDescent="0.6">
      <c r="C913" t="s">
        <v>2169</v>
      </c>
    </row>
    <row r="914" spans="3:7" x14ac:dyDescent="0.6">
      <c r="C914" t="s">
        <v>2172</v>
      </c>
      <c r="D914" t="s">
        <v>2176</v>
      </c>
      <c r="F914" t="s">
        <v>2177</v>
      </c>
    </row>
    <row r="915" spans="3:7" x14ac:dyDescent="0.6">
      <c r="D915" t="s">
        <v>2173</v>
      </c>
    </row>
    <row r="916" spans="3:7" x14ac:dyDescent="0.6">
      <c r="D916" t="s">
        <v>2174</v>
      </c>
    </row>
    <row r="917" spans="3:7" x14ac:dyDescent="0.6">
      <c r="C917" t="s">
        <v>2175</v>
      </c>
    </row>
    <row r="918" spans="3:7" x14ac:dyDescent="0.6">
      <c r="C918" t="s">
        <v>2178</v>
      </c>
    </row>
    <row r="919" spans="3:7" x14ac:dyDescent="0.6">
      <c r="D919" t="s">
        <v>593</v>
      </c>
    </row>
    <row r="920" spans="3:7" x14ac:dyDescent="0.6">
      <c r="D920" t="s">
        <v>2179</v>
      </c>
    </row>
    <row r="922" spans="3:7" x14ac:dyDescent="0.6">
      <c r="C922" t="s">
        <v>2170</v>
      </c>
      <c r="D922" s="234">
        <v>0.09</v>
      </c>
    </row>
    <row r="923" spans="3:7" x14ac:dyDescent="0.6">
      <c r="C923" t="s">
        <v>2171</v>
      </c>
      <c r="D923" s="234">
        <v>7.0000000000000007E-2</v>
      </c>
    </row>
    <row r="925" spans="3:7" x14ac:dyDescent="0.6">
      <c r="C925" s="499" t="s">
        <v>229</v>
      </c>
    </row>
    <row r="926" spans="3:7" x14ac:dyDescent="0.6">
      <c r="D926" t="s">
        <v>2181</v>
      </c>
      <c r="F926" s="234">
        <v>0.38</v>
      </c>
      <c r="G926" t="s">
        <v>2182</v>
      </c>
    </row>
    <row r="927" spans="3:7" x14ac:dyDescent="0.6">
      <c r="F927" s="234">
        <v>0.7</v>
      </c>
      <c r="G927" t="s">
        <v>2170</v>
      </c>
    </row>
    <row r="928" spans="3:7" x14ac:dyDescent="0.6">
      <c r="C928" t="s">
        <v>2183</v>
      </c>
    </row>
    <row r="929" spans="3:13" x14ac:dyDescent="0.6">
      <c r="C929" t="s">
        <v>2184</v>
      </c>
      <c r="D929" t="s">
        <v>2185</v>
      </c>
    </row>
    <row r="930" spans="3:13" x14ac:dyDescent="0.6">
      <c r="E930" t="s">
        <v>2186</v>
      </c>
    </row>
    <row r="931" spans="3:13" x14ac:dyDescent="0.6">
      <c r="F931" t="s">
        <v>2187</v>
      </c>
    </row>
    <row r="932" spans="3:13" x14ac:dyDescent="0.6">
      <c r="C932" t="s">
        <v>2188</v>
      </c>
    </row>
    <row r="933" spans="3:13" x14ac:dyDescent="0.6">
      <c r="D933" t="s">
        <v>2189</v>
      </c>
      <c r="E933" t="s">
        <v>2190</v>
      </c>
    </row>
    <row r="934" spans="3:13" x14ac:dyDescent="0.6">
      <c r="C934" t="s">
        <v>2191</v>
      </c>
    </row>
    <row r="935" spans="3:13" x14ac:dyDescent="0.6">
      <c r="D935" t="s">
        <v>2287</v>
      </c>
      <c r="E935" t="s">
        <v>2192</v>
      </c>
    </row>
    <row r="936" spans="3:13" x14ac:dyDescent="0.6">
      <c r="E936" t="s">
        <v>2193</v>
      </c>
    </row>
    <row r="937" spans="3:13" x14ac:dyDescent="0.6">
      <c r="D937" t="s">
        <v>2194</v>
      </c>
    </row>
    <row r="938" spans="3:13" x14ac:dyDescent="0.6">
      <c r="D938" t="s">
        <v>2195</v>
      </c>
    </row>
    <row r="939" spans="3:13" x14ac:dyDescent="0.6">
      <c r="C939" t="s">
        <v>2196</v>
      </c>
    </row>
    <row r="940" spans="3:13" x14ac:dyDescent="0.6">
      <c r="D940" t="s">
        <v>2197</v>
      </c>
    </row>
    <row r="941" spans="3:13" x14ac:dyDescent="0.6">
      <c r="E941" t="s">
        <v>2198</v>
      </c>
    </row>
    <row r="942" spans="3:13" x14ac:dyDescent="0.6">
      <c r="D942" t="s">
        <v>2199</v>
      </c>
      <c r="K942" s="19" t="s">
        <v>2282</v>
      </c>
      <c r="L942" s="279">
        <v>0.11</v>
      </c>
      <c r="M942" s="279"/>
    </row>
    <row r="943" spans="3:13" x14ac:dyDescent="0.6">
      <c r="D943" t="s">
        <v>2200</v>
      </c>
      <c r="K943" t="s">
        <v>2283</v>
      </c>
      <c r="L943" s="279">
        <v>8.9999999999999993E-3</v>
      </c>
      <c r="M943" s="279"/>
    </row>
    <row r="944" spans="3:13" x14ac:dyDescent="0.6">
      <c r="D944" t="s">
        <v>2201</v>
      </c>
      <c r="G944" t="s">
        <v>2202</v>
      </c>
      <c r="K944" t="s">
        <v>2284</v>
      </c>
      <c r="L944" s="279">
        <v>4.4999999999999997E-3</v>
      </c>
      <c r="M944" s="279"/>
    </row>
    <row r="945" spans="3:13" x14ac:dyDescent="0.6">
      <c r="C945" t="s">
        <v>2203</v>
      </c>
      <c r="K945" t="s">
        <v>2285</v>
      </c>
      <c r="L945" s="279">
        <f>L943-L944</f>
        <v>4.4999999999999997E-3</v>
      </c>
      <c r="M945" s="279"/>
    </row>
    <row r="946" spans="3:13" x14ac:dyDescent="0.6">
      <c r="D946" t="s">
        <v>2204</v>
      </c>
    </row>
    <row r="947" spans="3:13" x14ac:dyDescent="0.6">
      <c r="D947" t="s">
        <v>2205</v>
      </c>
      <c r="K947" s="19" t="s">
        <v>2281</v>
      </c>
      <c r="L947" s="279">
        <f>L942-L943</f>
        <v>0.10100000000000001</v>
      </c>
      <c r="M947" s="279"/>
    </row>
    <row r="948" spans="3:13" x14ac:dyDescent="0.6">
      <c r="D948" t="s">
        <v>2206</v>
      </c>
    </row>
    <row r="949" spans="3:13" x14ac:dyDescent="0.6">
      <c r="D949" t="s">
        <v>2207</v>
      </c>
      <c r="K949" s="19" t="s">
        <v>2286</v>
      </c>
      <c r="L949" s="234">
        <v>0.15</v>
      </c>
    </row>
    <row r="950" spans="3:13" x14ac:dyDescent="0.6">
      <c r="C950" t="s">
        <v>2208</v>
      </c>
      <c r="L950" s="1190">
        <f>L949-L947</f>
        <v>4.8999999999999988E-2</v>
      </c>
    </row>
    <row r="951" spans="3:13" x14ac:dyDescent="0.6">
      <c r="D951" s="234">
        <v>0.18</v>
      </c>
    </row>
    <row r="952" spans="3:13" x14ac:dyDescent="0.6">
      <c r="D952" t="s">
        <v>2209</v>
      </c>
    </row>
    <row r="953" spans="3:13" x14ac:dyDescent="0.6">
      <c r="C953" t="s">
        <v>2210</v>
      </c>
    </row>
    <row r="954" spans="3:13" x14ac:dyDescent="0.6">
      <c r="D954" t="s">
        <v>2211</v>
      </c>
    </row>
    <row r="955" spans="3:13" x14ac:dyDescent="0.6">
      <c r="D955" t="s">
        <v>2212</v>
      </c>
    </row>
    <row r="956" spans="3:13" x14ac:dyDescent="0.6">
      <c r="C956" t="s">
        <v>2213</v>
      </c>
    </row>
    <row r="957" spans="3:13" x14ac:dyDescent="0.6">
      <c r="D957" t="s">
        <v>2214</v>
      </c>
    </row>
    <row r="958" spans="3:13" x14ac:dyDescent="0.6">
      <c r="D958" t="s">
        <v>2215</v>
      </c>
    </row>
    <row r="959" spans="3:13" x14ac:dyDescent="0.6">
      <c r="D959" t="s">
        <v>2216</v>
      </c>
    </row>
    <row r="960" spans="3:13" x14ac:dyDescent="0.6">
      <c r="E960" t="s">
        <v>2217</v>
      </c>
    </row>
    <row r="961" spans="3:5" x14ac:dyDescent="0.6">
      <c r="C961" t="s">
        <v>2218</v>
      </c>
    </row>
    <row r="962" spans="3:5" x14ac:dyDescent="0.6">
      <c r="D962" t="s">
        <v>2219</v>
      </c>
    </row>
    <row r="963" spans="3:5" x14ac:dyDescent="0.6">
      <c r="D963" t="s">
        <v>2220</v>
      </c>
    </row>
    <row r="964" spans="3:5" x14ac:dyDescent="0.6">
      <c r="C964" t="s">
        <v>2221</v>
      </c>
    </row>
    <row r="965" spans="3:5" x14ac:dyDescent="0.6">
      <c r="D965" t="s">
        <v>2222</v>
      </c>
    </row>
    <row r="966" spans="3:5" x14ac:dyDescent="0.6">
      <c r="D966" t="s">
        <v>2223</v>
      </c>
    </row>
    <row r="967" spans="3:5" x14ac:dyDescent="0.6">
      <c r="C967" s="20" t="s">
        <v>2224</v>
      </c>
    </row>
    <row r="968" spans="3:5" x14ac:dyDescent="0.6">
      <c r="D968" t="s">
        <v>2225</v>
      </c>
    </row>
    <row r="969" spans="3:5" x14ac:dyDescent="0.6">
      <c r="D969" t="s">
        <v>2226</v>
      </c>
    </row>
    <row r="970" spans="3:5" x14ac:dyDescent="0.6">
      <c r="E970" t="s">
        <v>2228</v>
      </c>
    </row>
    <row r="971" spans="3:5" x14ac:dyDescent="0.6">
      <c r="E971" t="s">
        <v>2229</v>
      </c>
    </row>
    <row r="972" spans="3:5" x14ac:dyDescent="0.6">
      <c r="D972" t="s">
        <v>2227</v>
      </c>
    </row>
    <row r="973" spans="3:5" x14ac:dyDescent="0.6">
      <c r="D973" t="s">
        <v>2230</v>
      </c>
    </row>
    <row r="974" spans="3:5" x14ac:dyDescent="0.6">
      <c r="C974" s="20" t="s">
        <v>2231</v>
      </c>
    </row>
    <row r="975" spans="3:5" x14ac:dyDescent="0.6">
      <c r="D975" t="s">
        <v>2232</v>
      </c>
    </row>
    <row r="976" spans="3:5" x14ac:dyDescent="0.6">
      <c r="D976" t="s">
        <v>2233</v>
      </c>
    </row>
    <row r="977" spans="3:7" x14ac:dyDescent="0.6">
      <c r="C977" t="s">
        <v>136</v>
      </c>
    </row>
    <row r="978" spans="3:7" x14ac:dyDescent="0.6">
      <c r="D978" t="s">
        <v>2234</v>
      </c>
    </row>
    <row r="979" spans="3:7" x14ac:dyDescent="0.6">
      <c r="D979" t="s">
        <v>2235</v>
      </c>
    </row>
    <row r="980" spans="3:7" x14ac:dyDescent="0.6">
      <c r="E980">
        <v>2021</v>
      </c>
      <c r="F980" s="19" t="s">
        <v>2236</v>
      </c>
    </row>
    <row r="981" spans="3:7" x14ac:dyDescent="0.6">
      <c r="E981">
        <v>2023</v>
      </c>
      <c r="F981" s="234">
        <v>0.15</v>
      </c>
    </row>
    <row r="982" spans="3:7" x14ac:dyDescent="0.6">
      <c r="E982" t="s">
        <v>2237</v>
      </c>
    </row>
    <row r="983" spans="3:7" x14ac:dyDescent="0.6">
      <c r="E983" t="s">
        <v>2238</v>
      </c>
    </row>
    <row r="984" spans="3:7" x14ac:dyDescent="0.6">
      <c r="C984" t="s">
        <v>392</v>
      </c>
    </row>
    <row r="985" spans="3:7" x14ac:dyDescent="0.6">
      <c r="D985" t="s">
        <v>2239</v>
      </c>
    </row>
    <row r="987" spans="3:7" x14ac:dyDescent="0.6">
      <c r="D987" t="s">
        <v>449</v>
      </c>
    </row>
    <row r="988" spans="3:7" x14ac:dyDescent="0.6">
      <c r="C988" t="s">
        <v>2242</v>
      </c>
    </row>
    <row r="989" spans="3:7" x14ac:dyDescent="0.6">
      <c r="C989" t="s">
        <v>2180</v>
      </c>
      <c r="D989">
        <v>700</v>
      </c>
      <c r="F989" t="s">
        <v>2240</v>
      </c>
      <c r="G989" t="s">
        <v>2241</v>
      </c>
    </row>
    <row r="991" spans="3:7" x14ac:dyDescent="0.6">
      <c r="C991" t="s">
        <v>1749</v>
      </c>
      <c r="D991">
        <v>1500</v>
      </c>
      <c r="F991">
        <v>4500</v>
      </c>
      <c r="G991" t="s">
        <v>2243</v>
      </c>
    </row>
    <row r="992" spans="3:7" x14ac:dyDescent="0.6">
      <c r="D992" t="s">
        <v>2244</v>
      </c>
    </row>
    <row r="994" spans="3:7" x14ac:dyDescent="0.6">
      <c r="C994" t="s">
        <v>1749</v>
      </c>
      <c r="D994" t="s">
        <v>2246</v>
      </c>
      <c r="G994" t="s">
        <v>2247</v>
      </c>
    </row>
    <row r="995" spans="3:7" x14ac:dyDescent="0.6">
      <c r="D995" t="s">
        <v>2245</v>
      </c>
    </row>
    <row r="996" spans="3:7" x14ac:dyDescent="0.6">
      <c r="E996" t="s">
        <v>2248</v>
      </c>
    </row>
    <row r="997" spans="3:7" x14ac:dyDescent="0.6">
      <c r="E997" t="s">
        <v>2249</v>
      </c>
    </row>
    <row r="998" spans="3:7" x14ac:dyDescent="0.6">
      <c r="D998" t="s">
        <v>2250</v>
      </c>
    </row>
    <row r="999" spans="3:7" x14ac:dyDescent="0.6">
      <c r="E999" t="s">
        <v>2251</v>
      </c>
    </row>
    <row r="1000" spans="3:7" x14ac:dyDescent="0.6">
      <c r="E1000" t="s">
        <v>2252</v>
      </c>
    </row>
    <row r="1001" spans="3:7" x14ac:dyDescent="0.6">
      <c r="E1001" t="s">
        <v>2253</v>
      </c>
    </row>
    <row r="1002" spans="3:7" x14ac:dyDescent="0.6">
      <c r="E1002" t="s">
        <v>2254</v>
      </c>
    </row>
    <row r="1003" spans="3:7" x14ac:dyDescent="0.6">
      <c r="E1003" t="s">
        <v>2255</v>
      </c>
    </row>
    <row r="1004" spans="3:7" x14ac:dyDescent="0.6">
      <c r="F1004" t="s">
        <v>2256</v>
      </c>
    </row>
    <row r="1005" spans="3:7" x14ac:dyDescent="0.6">
      <c r="E1005" t="s">
        <v>2257</v>
      </c>
    </row>
    <row r="1006" spans="3:7" x14ac:dyDescent="0.6">
      <c r="E1006" t="s">
        <v>2258</v>
      </c>
    </row>
    <row r="1007" spans="3:7" x14ac:dyDescent="0.6">
      <c r="F1007" t="s">
        <v>2259</v>
      </c>
    </row>
    <row r="1009" spans="3:5" x14ac:dyDescent="0.6">
      <c r="C1009" s="20" t="s">
        <v>2260</v>
      </c>
    </row>
    <row r="1010" spans="3:5" x14ac:dyDescent="0.6">
      <c r="D1010" t="s">
        <v>2261</v>
      </c>
    </row>
    <row r="1011" spans="3:5" x14ac:dyDescent="0.6">
      <c r="D1011" t="s">
        <v>2262</v>
      </c>
    </row>
    <row r="1012" spans="3:5" x14ac:dyDescent="0.6">
      <c r="D1012" t="s">
        <v>2263</v>
      </c>
    </row>
    <row r="1013" spans="3:5" x14ac:dyDescent="0.6">
      <c r="D1013" t="s">
        <v>2264</v>
      </c>
    </row>
    <row r="1014" spans="3:5" x14ac:dyDescent="0.6">
      <c r="E1014" t="s">
        <v>2265</v>
      </c>
    </row>
    <row r="1015" spans="3:5" x14ac:dyDescent="0.6">
      <c r="E1015" t="s">
        <v>2266</v>
      </c>
    </row>
    <row r="1016" spans="3:5" x14ac:dyDescent="0.6">
      <c r="D1016" t="s">
        <v>2267</v>
      </c>
    </row>
    <row r="1017" spans="3:5" x14ac:dyDescent="0.6">
      <c r="E1017" t="s">
        <v>2268</v>
      </c>
    </row>
    <row r="1018" spans="3:5" x14ac:dyDescent="0.6">
      <c r="D1018" t="s">
        <v>2269</v>
      </c>
    </row>
    <row r="1019" spans="3:5" x14ac:dyDescent="0.6">
      <c r="E1019" t="s">
        <v>2270</v>
      </c>
    </row>
    <row r="1020" spans="3:5" x14ac:dyDescent="0.6">
      <c r="E1020" t="s">
        <v>2271</v>
      </c>
    </row>
    <row r="1021" spans="3:5" x14ac:dyDescent="0.6">
      <c r="D1021" t="s">
        <v>2272</v>
      </c>
    </row>
    <row r="1023" spans="3:5" x14ac:dyDescent="0.6">
      <c r="D1023" t="s">
        <v>2273</v>
      </c>
    </row>
    <row r="1024" spans="3:5" x14ac:dyDescent="0.6">
      <c r="E1024" t="s">
        <v>2274</v>
      </c>
    </row>
    <row r="1025" spans="3:5" x14ac:dyDescent="0.6">
      <c r="E1025" t="s">
        <v>2275</v>
      </c>
    </row>
    <row r="1026" spans="3:5" x14ac:dyDescent="0.6">
      <c r="D1026" t="s">
        <v>2276</v>
      </c>
    </row>
    <row r="1027" spans="3:5" x14ac:dyDescent="0.6">
      <c r="C1027" s="20" t="s">
        <v>2277</v>
      </c>
    </row>
    <row r="1028" spans="3:5" x14ac:dyDescent="0.6">
      <c r="D1028" t="s">
        <v>2278</v>
      </c>
    </row>
    <row r="1029" spans="3:5" x14ac:dyDescent="0.6">
      <c r="E1029" t="s">
        <v>2279</v>
      </c>
    </row>
    <row r="1030" spans="3:5" x14ac:dyDescent="0.6">
      <c r="D1030" t="s">
        <v>1748</v>
      </c>
    </row>
    <row r="1031" spans="3:5" x14ac:dyDescent="0.6">
      <c r="E1031" t="s">
        <v>2280</v>
      </c>
    </row>
  </sheetData>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45DFD126F1C944A14E489380A940D9" ma:contentTypeVersion="12" ma:contentTypeDescription="Create a new document." ma:contentTypeScope="" ma:versionID="135f5511df3d0be2c8bd5128510892d5">
  <xsd:schema xmlns:xsd="http://www.w3.org/2001/XMLSchema" xmlns:xs="http://www.w3.org/2001/XMLSchema" xmlns:p="http://schemas.microsoft.com/office/2006/metadata/properties" xmlns:ns2="7a64ecaf-0ff2-4962-b687-c42052c96c69" xmlns:ns3="ac44878d-96d9-4f15-b496-a71362426953" targetNamespace="http://schemas.microsoft.com/office/2006/metadata/properties" ma:root="true" ma:fieldsID="9403f04297d608c6c0e02be7f891f173" ns2:_="" ns3:_="">
    <xsd:import namespace="7a64ecaf-0ff2-4962-b687-c42052c96c69"/>
    <xsd:import namespace="ac44878d-96d9-4f15-b496-a713624269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64ecaf-0ff2-4962-b687-c42052c96c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47c01aa-fa72-499e-a558-c0906cb7ca6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c44878d-96d9-4f15-b496-a7136242695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b3b699d-aa6c-457c-8a6e-4428a86250e7}" ma:internalName="TaxCatchAll" ma:showField="CatchAllData" ma:web="ac44878d-96d9-4f15-b496-a713624269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a64ecaf-0ff2-4962-b687-c42052c96c69">
      <Terms xmlns="http://schemas.microsoft.com/office/infopath/2007/PartnerControls"/>
    </lcf76f155ced4ddcb4097134ff3c332f>
    <TaxCatchAll xmlns="ac44878d-96d9-4f15-b496-a71362426953" xsi:nil="true"/>
  </documentManagement>
</p:properties>
</file>

<file path=customXml/itemProps1.xml><?xml version="1.0" encoding="utf-8"?>
<ds:datastoreItem xmlns:ds="http://schemas.openxmlformats.org/officeDocument/2006/customXml" ds:itemID="{DEE28DD5-2BBD-411E-8ED4-AA3892750D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64ecaf-0ff2-4962-b687-c42052c96c69"/>
    <ds:schemaRef ds:uri="ac44878d-96d9-4f15-b496-a713624269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B815BA-7D9F-4182-B81C-3842DC70C327}">
  <ds:schemaRefs>
    <ds:schemaRef ds:uri="http://schemas.microsoft.com/sharepoint/v3/contenttype/forms"/>
  </ds:schemaRefs>
</ds:datastoreItem>
</file>

<file path=customXml/itemProps3.xml><?xml version="1.0" encoding="utf-8"?>
<ds:datastoreItem xmlns:ds="http://schemas.openxmlformats.org/officeDocument/2006/customXml" ds:itemID="{FFBFF372-4E04-4E63-BB2D-771948D2047C}">
  <ds:schemaRefs>
    <ds:schemaRef ds:uri="http://schemas.microsoft.com/office/2006/metadata/properties"/>
    <ds:schemaRef ds:uri="http://schemas.microsoft.com/office/infopath/2007/PartnerControls"/>
    <ds:schemaRef ds:uri="7a64ecaf-0ff2-4962-b687-c42052c96c69"/>
    <ds:schemaRef ds:uri="ac44878d-96d9-4f15-b496-a7136242695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vt:lpstr>
      <vt:lpstr>Master</vt:lpstr>
      <vt:lpstr>Consensus</vt:lpstr>
      <vt:lpstr>Quarts</vt:lpstr>
      <vt:lpstr>Analysis</vt:lpstr>
      <vt:lpstr>Revenue and Expenses breakdown</vt:lpstr>
      <vt:lpstr>Earnings snap</vt:lpstr>
      <vt:lpstr>Drivers</vt:lpstr>
      <vt:lpstr>Notes</vt:lpstr>
      <vt:lpstr>bcb</vt:lpstr>
      <vt:lpstr>Valuation</vt:lpstr>
      <vt:lpstr>Banks comps</vt:lpstr>
      <vt:lpstr>BS Estimates</vt:lpstr>
      <vt:lpstr>Macro</vt:lpstr>
      <vt:lpstr>Summary</vt:lpstr>
      <vt:lpstr>Summary II</vt:lpstr>
      <vt:lpstr>Comps link</vt:lpstr>
      <vt:lpstr>FIG ratios</vt:lpstr>
      <vt:lpstr>Customers</vt:lpstr>
      <vt:lpstr>Subs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dc:creator>
  <cp:lastModifiedBy>Soomit Datta</cp:lastModifiedBy>
  <cp:lastPrinted>2024-09-27T11:15:05Z</cp:lastPrinted>
  <dcterms:created xsi:type="dcterms:W3CDTF">2021-11-01T16:37:22Z</dcterms:created>
  <dcterms:modified xsi:type="dcterms:W3CDTF">2024-10-02T20:12:59Z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0x0101004E45DFD126F1C944A14E489380A940D9</vt:lpwstr>
  </property>
  <property fmtid="{D5CDD505-2E9C-101B-9397-08002B2CF9AE}" pid="3" name="Order">
    <vt:r8>16557600</vt:r8>
  </property>
  <property fmtid="{D5CDD505-2E9C-101B-9397-08002B2CF9AE}" pid="4" name="MediaServiceImageTags">
    <vt:lpwstr/>
  </property>
</Properties>
</file>