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6.xml" ContentType="application/vnd.openxmlformats-officedocument.drawing+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xml" ContentType="application/vnd.openxmlformats-officedocument.themeOverride+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3.xml" ContentType="application/vnd.openxmlformats-officedocument.themeOverride+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4.xml" ContentType="application/vnd.openxmlformats-officedocument.themeOverride+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5.xml" ContentType="application/vnd.openxmlformats-officedocument.themeOverride+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6.xml" ContentType="application/vnd.openxmlformats-officedocument.themeOverride+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7.xml" ContentType="application/vnd.openxmlformats-officedocument.themeOverride+xml"/>
  <Override PartName="/xl/charts/chart31.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8.xml" ContentType="application/vnd.openxmlformats-officedocument.themeOverride+xml"/>
  <Override PartName="/xl/charts/chart32.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9.xml" ContentType="application/vnd.openxmlformats-officedocument.themeOverride+xml"/>
  <Override PartName="/xl/charts/chart33.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10.xml" ContentType="application/vnd.openxmlformats-officedocument.themeOverride+xml"/>
  <Override PartName="/xl/charts/chart34.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11.xml" ContentType="application/vnd.openxmlformats-officedocument.themeOverride+xml"/>
  <Override PartName="/xl/charts/chart35.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12.xml" ContentType="application/vnd.openxmlformats-officedocument.themeOverride+xml"/>
  <Override PartName="/xl/charts/chart36.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3.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S:\TELECOMS\STOCKS\EMEA\Latam\Sitios Latinoamerica\Model\Current\"/>
    </mc:Choice>
  </mc:AlternateContent>
  <xr:revisionPtr revIDLastSave="0" documentId="13_ncr:1_{58184264-AF01-4A2D-A227-702F6486D3D3}" xr6:coauthVersionLast="47" xr6:coauthVersionMax="47" xr10:uidLastSave="{00000000-0000-0000-0000-000000000000}"/>
  <bookViews>
    <workbookView xWindow="22440" yWindow="7500" windowWidth="20520" windowHeight="23580" xr2:uid="{A9411C96-83AE-4AC2-AF6E-80E9F5DCD9B7}"/>
  </bookViews>
  <sheets>
    <sheet name="Cover" sheetId="7" r:id="rId1"/>
    <sheet name="Master" sheetId="1" r:id="rId2"/>
    <sheet name="Summary" sheetId="6" r:id="rId3"/>
    <sheet name="Interims" sheetId="5" r:id="rId4"/>
    <sheet name="Snaps" sheetId="3" r:id="rId5"/>
    <sheet name="Notes" sheetId="2" r:id="rId6"/>
    <sheet name="Analysis" sheetId="4" r:id="rId7"/>
    <sheet name="Sitios v Opsimex"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#REF!</definedName>
    <definedName name="________yr1996">#REF!</definedName>
    <definedName name="___yr1996">#REF!</definedName>
    <definedName name="__FDS_HYPERLINK_TOGGLE_STATE__" hidden="1">"ON"</definedName>
    <definedName name="_1_0Market">[1]KPN!#REF!</definedName>
    <definedName name="_1993A">#REF!</definedName>
    <definedName name="_1994A">#REF!</definedName>
    <definedName name="_1995">#REF!</definedName>
    <definedName name="_1995A">#REF!</definedName>
    <definedName name="_1996">#REF!</definedName>
    <definedName name="_1996A">#REF!</definedName>
    <definedName name="_1997">#REF!</definedName>
    <definedName name="_1997A">#REF!</definedName>
    <definedName name="_1998">#REF!</definedName>
    <definedName name="_1998E">#REF!</definedName>
    <definedName name="_1999">#REF!</definedName>
    <definedName name="_1999E">#REF!</definedName>
    <definedName name="_2000">#REF!</definedName>
    <definedName name="_2000E">#REF!</definedName>
    <definedName name="_2001">#REF!</definedName>
    <definedName name="_2001E">#REF!</definedName>
    <definedName name="_2002">#REF!</definedName>
    <definedName name="_2002E">#REF!</definedName>
    <definedName name="_2003E">#REF!</definedName>
    <definedName name="_2004E">#REF!</definedName>
    <definedName name="_2005E">#REF!</definedName>
    <definedName name="_2B_0Working_pr">[1]KPN!#REF!</definedName>
    <definedName name="_3D_0Working_l">[1]KPN!#REF!</definedName>
    <definedName name="_Admin" hidden="1">"No"</definedName>
    <definedName name="_Fill" hidden="1">#REF!</definedName>
    <definedName name="_xlnm._FilterDatabase" localSheetId="6" hidden="1">Analysis!$C$183:$F$196</definedName>
    <definedName name="_xlnm._FilterDatabase" hidden="1">#REF!</definedName>
    <definedName name="_GSR008" hidden="1">[2]Equipment!$E$134:$DT$134</definedName>
    <definedName name="_GSR012" hidden="1">[2]Equipment!$E$185:$DT$185</definedName>
    <definedName name="_InAdmin" hidden="1">"No"</definedName>
    <definedName name="_Key1" localSheetId="0" hidden="1">#REF!</definedName>
    <definedName name="_Key1" hidden="1">#REF!</definedName>
    <definedName name="_LegalOk" hidden="1">"No"</definedName>
    <definedName name="_MC16" hidden="1">[2]Equipment!$E$80:$DT$80</definedName>
    <definedName name="_MC28" hidden="1">[2]Equipment!$E$77:$DT$77</definedName>
    <definedName name="_Order1" hidden="1">255</definedName>
    <definedName name="_Order2" hidden="1">0</definedName>
    <definedName name="_Sort" localSheetId="0" hidden="1">#REF!</definedName>
    <definedName name="_Sort" hidden="1">#REF!</definedName>
    <definedName name="_UP">#REF!</definedName>
    <definedName name="adfa" hidden="1">#REF!</definedName>
    <definedName name="anscount" localSheetId="0" hidden="1">2</definedName>
    <definedName name="anscount" hidden="1">1</definedName>
    <definedName name="AP" hidden="1">[2]Model!$E$41</definedName>
    <definedName name="aRG">#REF!</definedName>
    <definedName name="ARPUInput" hidden="1">[2]Model!$E$142:$DT$142</definedName>
    <definedName name="asdfdf" hidden="1">{#N/A,#N/A,FALSE,"Statement of Ops";#N/A,#N/A,FALSE,"Trend Ops"}</definedName>
    <definedName name="assoc">#REF!</definedName>
    <definedName name="Assumptions" hidden="1">[2]Model!$A$30:$A$122</definedName>
    <definedName name="AvgVoiceLines" hidden="1">[2]Model!$E$136:$DT$136</definedName>
    <definedName name="Balance_Sheet" hidden="1">'[2]Financial Statements'!$A$126:$A$177</definedName>
    <definedName name="bb" hidden="1">{#N/A,#N/A,FALSE,"Statement of Ops";#N/A,#N/A,FALSE,"Trend Ops"}</definedName>
    <definedName name="Belgium_Belgacom_fixed_export">#REF!</definedName>
    <definedName name="Belgium_Belgacom_mobile_export">#REF!</definedName>
    <definedName name="bondcos">#REF!</definedName>
    <definedName name="bondcost">#REF!</definedName>
    <definedName name="BPackClust" hidden="1">[2]Equipment!$E$226:$DT$226</definedName>
    <definedName name="BPackRTU" hidden="1">[2]Equipment!$E$220:$DT$220</definedName>
    <definedName name="BPackRTUCapex" hidden="1">[2]Capex!$E$220:$DT$220</definedName>
    <definedName name="BPackRTULife" hidden="1">[2]Capex!$C$116</definedName>
    <definedName name="BPackRTUMaint" hidden="1">[2]Capex!$E$248:$DT$248</definedName>
    <definedName name="bsminority">#REF!</definedName>
    <definedName name="BT_Att">#REF!</definedName>
    <definedName name="BT_BSMins">#REF!</definedName>
    <definedName name="BT_CFPS">#REF!</definedName>
    <definedName name="BT_CFPS_fd">#REF!</definedName>
    <definedName name="BT_DPS">#REF!</definedName>
    <definedName name="BT_DtoE">#REF!</definedName>
    <definedName name="BT_EBITDA">#REF!</definedName>
    <definedName name="BT_EPS_fd">#REF!</definedName>
    <definedName name="BT_FA">#REF!</definedName>
    <definedName name="BT_Min">#REF!</definedName>
    <definedName name="BT_Minorities">#REF!</definedName>
    <definedName name="BT_Mins">#REF!</definedName>
    <definedName name="BT_NAV">#REF!</definedName>
    <definedName name="BT_NDebt">#REF!</definedName>
    <definedName name="BT_netdebt">#REF!</definedName>
    <definedName name="BT_Provs">#REF!</definedName>
    <definedName name="BT_R">#REF!</definedName>
    <definedName name="BT_Rec">#REF!</definedName>
    <definedName name="BT_ROCE">#REF!</definedName>
    <definedName name="BT_ROE">#REF!</definedName>
    <definedName name="BT_Sales">#REF!</definedName>
    <definedName name="BT_Shf">#REF!</definedName>
    <definedName name="BT_Shissued">#REF!</definedName>
    <definedName name="BT_UK_export">[3]IM!$K$12:$AL$48</definedName>
    <definedName name="BT_UP">#REF!</definedName>
    <definedName name="BTS" hidden="1">[2]Equipment!$E$212:$DT$212</definedName>
    <definedName name="BTSAppRTUCapex" hidden="1">[2]Capex!$E$218:$DT$218</definedName>
    <definedName name="BTSAppRTULife" hidden="1">[2]Capex!$C$114</definedName>
    <definedName name="BTSAppRTUMaint" hidden="1">[2]Capex!$E$247:$DT$247</definedName>
    <definedName name="BTSLife" hidden="1">[2]Capex!$C$112</definedName>
    <definedName name="BTSPlatRTUCapex" hidden="1">[2]Capex!$E$217:$DT$217</definedName>
    <definedName name="BTSPlatRTULife" hidden="1">[2]Capex!$C$113</definedName>
    <definedName name="BTSPlatRTUMaint" hidden="1">[2]Capex!$E$246:$DT$246</definedName>
    <definedName name="BTSRTU" hidden="1">[2]Equipment!$E$206:$DT$206</definedName>
    <definedName name="CalcSetting" hidden="1">[2]Equipment!$B$10</definedName>
    <definedName name="CallMgmtPctInbound" hidden="1">[2]Model!$E$118:$DT$118</definedName>
    <definedName name="CallMgmtPctOutbound" hidden="1">[2]Model!$E$119:$DT$119</definedName>
    <definedName name="Capital_Employed">#REF!</definedName>
    <definedName name="Card" hidden="1">[2]Equipment!$E$40:$DT$40</definedName>
    <definedName name="CardInput" hidden="1">'[2]Capex Input'!$E$48:$DT$48</definedName>
    <definedName name="cash">#REF!</definedName>
    <definedName name="Cash_Flow_Statement" hidden="1">'[2]Financial Statements'!$A$69:$A$122</definedName>
    <definedName name="casheps">#REF!</definedName>
    <definedName name="changend">#REF!</definedName>
    <definedName name="Chile">#REF!</definedName>
    <definedName name="CHT" hidden="1">[2]Equipment!$E$202:$DT$202</definedName>
    <definedName name="CHTInput" hidden="1">'[2]Capex Input'!$E$41:$DT$41</definedName>
    <definedName name="CMTSInputs" hidden="1">[2]Equipment!$E$13:$DT$57</definedName>
    <definedName name="CMTSOutputs" hidden="1">[2]Equipment!$E$59:$DT$68</definedName>
    <definedName name="CNAMPctInbound" hidden="1">[2]Model!$E$116:$DT$116</definedName>
    <definedName name="CNAMPctOutbound" hidden="1">[2]Model!$E$117:$DT$117</definedName>
    <definedName name="CodecInput" hidden="1">'[2]Capex Input'!$E$33:$DT$33</definedName>
    <definedName name="Cognit" hidden="1">[2]Equipment!$E$235:$DT$235</definedName>
    <definedName name="ColCount" hidden="1">[2]Equipment!$B$11</definedName>
    <definedName name="Core_old__BT_cap_ex">#REF!</definedName>
    <definedName name="corecapex">#REF!</definedName>
    <definedName name="cost_of_capital" hidden="1">[2]Model!$E$43</definedName>
    <definedName name="CPE">#REF!</definedName>
    <definedName name="CPULimit" hidden="1">[2]Equipment!$E$56:$DT$56</definedName>
    <definedName name="CPUPerDataSub" hidden="1">[2]Equipment!$E$36:$DT$36</definedName>
    <definedName name="CPUPerDS0" hidden="1">[2]Equipment!$E$35:$DT$35</definedName>
    <definedName name="CPUUtil" hidden="1">[2]Equipment!$E$63:$DT$63</definedName>
    <definedName name="CPUUtilData" hidden="1">[2]Equipment!$E$68:$DT$68</definedName>
    <definedName name="creditors">#REF!</definedName>
    <definedName name="cueps">#REF!</definedName>
    <definedName name="DB" localSheetId="0">"WIRENYPROD"</definedName>
    <definedName name="DB">"WIREUK"</definedName>
    <definedName name="DCF_Valuation">[4]UK!#REF!</definedName>
    <definedName name="debtors">#REF!</definedName>
    <definedName name="depre">#REF!</definedName>
    <definedName name="depreciation">#REF!</definedName>
    <definedName name="dere" hidden="1">{#N/A,#N/A,FALSE,"Statement of Ops";#N/A,#N/A,FALSE,"Trend Ops"}</definedName>
    <definedName name="dfdfd" hidden="1">{#N/A,#N/A,FALSE,"Statement of Ops";#N/A,#N/A,FALSE,"Trend Ops"}</definedName>
    <definedName name="dfsdf" hidden="1">{#N/A,#N/A,FALSE,"Statement of Ops";#N/A,#N/A,FALSE,"Trend Ops"}</definedName>
    <definedName name="disposals">#REF!</definedName>
    <definedName name="divpaid">#REF!</definedName>
    <definedName name="dps">#REF!</definedName>
    <definedName name="dsf" hidden="1">{#N/A,#N/A,FALSE,"Statement of Ops";#N/A,#N/A,FALSE,"Trend Ops"}</definedName>
    <definedName name="DSPerDataSub" hidden="1">[2]Equipment!$E$30:$DT$30</definedName>
    <definedName name="DSPerDataSubInput" hidden="1">'[2]Capex Input'!$E$42:$DT$42</definedName>
    <definedName name="DSPerDom" hidden="1">[2]Equipment!$E$46:$DT$46</definedName>
    <definedName name="DSPerDS0" hidden="1">[2]Equipment!$E$24:$DT$24</definedName>
    <definedName name="DSUtil" hidden="1">[2]Equipment!$E$60:$DT$60</definedName>
    <definedName name="DSUtilData" hidden="1">[2]Equipment!$E$65:$DT$65</definedName>
    <definedName name="DualPctData" hidden="1">[2]Capex!$E$32:$DT$32</definedName>
    <definedName name="DualPctVoiceInput" hidden="1">[2]Model!$E$86:$DT$86</definedName>
    <definedName name="eeeeeeeeee" hidden="1">{#N/A,#N/A,FALSE,"Statement of Ops";#N/A,#N/A,FALSE,"Trend Ops"}</definedName>
    <definedName name="eps">#REF!</definedName>
    <definedName name="Equipment_and_CAPEX" hidden="1">[2]Model!$A$199:$A$265</definedName>
    <definedName name="erere" hidden="1">{#N/A,#N/A,FALSE,"Statement of Ops";#N/A,#N/A,FALSE,"Trend Ops"}</definedName>
    <definedName name="ererere" hidden="1">{#N/A,#N/A,FALSE,"Statement of Ops";#N/A,#N/A,FALSE,"Trend Ops"}</definedName>
    <definedName name="ErlangsPerLine" hidden="1">[2]Equipment!$E$29:$DT$29</definedName>
    <definedName name="ErlangsPerLineInput" hidden="1">'[2]Capex Input'!$E$40:$DT$40</definedName>
    <definedName name="F.1981.03">#REF!</definedName>
    <definedName name="F.1982.03">#REF!</definedName>
    <definedName name="F.1983.03">#REF!</definedName>
    <definedName name="F.1984.03">#REF!</definedName>
    <definedName name="F.1985.03">#REF!</definedName>
    <definedName name="F.1986.03">#REF!</definedName>
    <definedName name="F.1987.03">#REF!</definedName>
    <definedName name="F.1988.03">#REF!</definedName>
    <definedName name="F.1989.03">#REF!</definedName>
    <definedName name="F.1990.03">#REF!</definedName>
    <definedName name="F.1991.03">#REF!</definedName>
    <definedName name="F.1992.03">#REF!</definedName>
    <definedName name="F.1993.03">#REF!</definedName>
    <definedName name="F.1994.03">#REF!</definedName>
    <definedName name="F.1995.03">#REF!</definedName>
    <definedName name="F.1998.03">#REF!</definedName>
    <definedName name="fcf">#REF!</definedName>
    <definedName name="France_Telecom">#REF!</definedName>
    <definedName name="France_Telecom_Belgium_mobile_interconnect_receipts">#REF!</definedName>
    <definedName name="France_Telecom_Belgium_mobile_interconnect_receipts_from_fixed_operators">#REF!</definedName>
    <definedName name="France_Telecom_Belgium_mobile_interconnect_receipts_from_mobile_operators">#REF!</definedName>
    <definedName name="France_Telecom_Belgium_mobile_other_revenue">#REF!</definedName>
    <definedName name="France_Telecom_Belgium_mobile_retail_and_wholesale_services_revenue">#REF!</definedName>
    <definedName name="France_Telecom_Belgium_mobile_retail_revenue">#REF!</definedName>
    <definedName name="France_Telecom_Belgium_mobile_retail_subscribers">#REF!</definedName>
    <definedName name="France_Telecom_Belgium_mobile_revenue">#REF!</definedName>
    <definedName name="France_Telecom_Belgium_mobile_wholesale_revenue">#REF!</definedName>
    <definedName name="France_Telecom_Belgium_mobile_wholesale_subscribers">#REF!</definedName>
    <definedName name="France_Telecom_Denmark_mobile_interconnect_receipts">#REF!</definedName>
    <definedName name="France_Telecom_Denmark_mobile_interconnect_receipts_from_fixed_operators">#REF!</definedName>
    <definedName name="France_Telecom_Denmark_mobile_interconnect_receipts_from_mobile_operators">#REF!</definedName>
    <definedName name="France_Telecom_Denmark_mobile_other_revenue">#REF!</definedName>
    <definedName name="France_Telecom_Denmark_mobile_retail_and_wholesale_services_revenue">#REF!</definedName>
    <definedName name="France_Telecom_Denmark_mobile_retail_revenue">#REF!</definedName>
    <definedName name="France_Telecom_Denmark_mobile_retail_subscribers">#REF!</definedName>
    <definedName name="France_Telecom_Denmark_mobile_revenue">#REF!</definedName>
    <definedName name="France_Telecom_Denmark_mobile_wholesale_revenue">#REF!</definedName>
    <definedName name="France_Telecom_Denmark_mobile_wholesale_subscribers">#REF!</definedName>
    <definedName name="France_Telecom_Egypt_mobile_interconnect_receipts">#REF!</definedName>
    <definedName name="France_Telecom_Egypt_mobile_interconnect_receipts_from_fixed_operators">#REF!</definedName>
    <definedName name="France_Telecom_Egypt_mobile_interconnect_receipts_from_mobile_operators">#REF!</definedName>
    <definedName name="France_Telecom_Egypt_mobile_other_revenue">#REF!</definedName>
    <definedName name="France_Telecom_Egypt_mobile_retail_and_wholesale_services_revenue">#REF!</definedName>
    <definedName name="France_Telecom_Egypt_mobile_retail_revenue">#REF!</definedName>
    <definedName name="France_Telecom_Egypt_mobile_retail_subscribers">#REF!</definedName>
    <definedName name="France_Telecom_Egypt_mobile_revenue">#REF!</definedName>
    <definedName name="France_Telecom_Egypt_mobile_wholesale_revenue">#REF!</definedName>
    <definedName name="France_Telecom_Egypt_mobile_wholesale_subscribers">#REF!</definedName>
    <definedName name="France_Telecom_France_fixed_broadband_revenue__business">#REF!</definedName>
    <definedName name="France_Telecom_France_fixed_broadband_revenue__residential">#REF!</definedName>
    <definedName name="France_Telecom_France_fixed_broadband_revenue__residential___business">#REF!</definedName>
    <definedName name="France_Telecom_France_fixed_interconnect_receipts">#REF!</definedName>
    <definedName name="France_Telecom_France_fixed_interconnect_receipts_from_fixed_operators">#REF!</definedName>
    <definedName name="France_Telecom_France_fixed_interconnect_receipts_from_mobile_operators">#REF!</definedName>
    <definedName name="France_Telecom_France_fixed_other_revenue">#REF!</definedName>
    <definedName name="France_Telecom_France_fixed_retail_and_wholesale_services_revenue">#REF!</definedName>
    <definedName name="France_Telecom_France_fixed_retail_broadband_business_sites">#REF!</definedName>
    <definedName name="France_Telecom_France_fixed_retail_broadband_homes">#REF!</definedName>
    <definedName name="France_Telecom_France_fixed_retail_broadband_sites__homes_and_businesses">#REF!</definedName>
    <definedName name="France_Telecom_France_fixed_retail_business_sites">#REF!</definedName>
    <definedName name="France_Telecom_France_fixed_retail_homes">#REF!</definedName>
    <definedName name="France_Telecom_France_fixed_retail_lines__business">#REF!</definedName>
    <definedName name="France_Telecom_France_fixed_retail_lines__ISDN">#REF!</definedName>
    <definedName name="France_Telecom_France_fixed_retail_lines__PSTN">#REF!</definedName>
    <definedName name="France_Telecom_France_fixed_retail_lines__PSTN___ISDN">#REF!</definedName>
    <definedName name="France_Telecom_France_fixed_retail_lines__residential">#REF!</definedName>
    <definedName name="France_Telecom_France_fixed_retail_lines__residential___business">#REF!</definedName>
    <definedName name="France_Telecom_France_fixed_retail_revenue__business">#REF!</definedName>
    <definedName name="France_Telecom_France_fixed_retail_revenue__residential">#REF!</definedName>
    <definedName name="France_Telecom_France_fixed_retail_revenue__residential___business">#REF!</definedName>
    <definedName name="France_Telecom_France_fixed_revenue">#REF!</definedName>
    <definedName name="France_Telecom_France_fixed_wholesale_and_interconnect_services_revenue">#REF!</definedName>
    <definedName name="France_Telecom_France_fixed_wholesale_broadband_business_sites">#REF!</definedName>
    <definedName name="France_Telecom_France_fixed_wholesale_broadband_homes">#REF!</definedName>
    <definedName name="France_Telecom_France_fixed_wholesale_broadband_sites__homes_and_businesses">#REF!</definedName>
    <definedName name="France_Telecom_France_fixed_wholesale_business_sites">#REF!</definedName>
    <definedName name="France_Telecom_France_fixed_wholesale_homes">#REF!</definedName>
    <definedName name="France_Telecom_France_fixed_wholesale_lines__business">#REF!</definedName>
    <definedName name="France_Telecom_France_fixed_wholesale_lines__ISDN">#REF!</definedName>
    <definedName name="France_Telecom_France_fixed_wholesale_lines__PSTN">#REF!</definedName>
    <definedName name="France_Telecom_France_fixed_wholesale_lines__PSTN___ISDN">#REF!</definedName>
    <definedName name="France_Telecom_France_fixed_wholesale_lines__residential">#REF!</definedName>
    <definedName name="France_Telecom_France_fixed_wholesale_lines__residential___business">#REF!</definedName>
    <definedName name="France_Telecom_France_fixed_wholesale_revenue">#REF!</definedName>
    <definedName name="France_Telecom_France_mobile_interconnect_receipts">#REF!</definedName>
    <definedName name="France_Telecom_France_mobile_interconnect_receipts_from_fixed_operators">#REF!</definedName>
    <definedName name="France_Telecom_France_mobile_interconnect_receipts_from_mobile_operators">#REF!</definedName>
    <definedName name="France_Telecom_France_mobile_other_revenue">#REF!</definedName>
    <definedName name="France_Telecom_France_mobile_retail_and_wholesale_services_revenue">#REF!</definedName>
    <definedName name="France_Telecom_France_mobile_retail_revenue">#REF!</definedName>
    <definedName name="France_Telecom_France_mobile_retail_subscribers">#REF!</definedName>
    <definedName name="France_Telecom_France_mobile_revenue">#REF!</definedName>
    <definedName name="France_Telecom_France_mobile_wholesale_revenue">#REF!</definedName>
    <definedName name="France_Telecom_France_mobile_wholesale_subscribers">#REF!</definedName>
    <definedName name="France_Telecom_Netherlands_mobile_interconnect_receipts">#REF!</definedName>
    <definedName name="France_Telecom_Netherlands_mobile_interconnect_receipts_from_fixed_operators">#REF!</definedName>
    <definedName name="France_Telecom_Netherlands_mobile_interconnect_receipts_from_mobile_operators">#REF!</definedName>
    <definedName name="France_Telecom_Netherlands_mobile_other_revenue">#REF!</definedName>
    <definedName name="France_Telecom_Netherlands_mobile_retail_and_wholesale_services_revenue">#REF!</definedName>
    <definedName name="France_Telecom_Netherlands_mobile_retail_revenue">#REF!</definedName>
    <definedName name="France_Telecom_Netherlands_mobile_retail_subscribers">#REF!</definedName>
    <definedName name="France_Telecom_Netherlands_mobile_revenue">#REF!</definedName>
    <definedName name="France_Telecom_Netherlands_mobile_wholesale_revenue">#REF!</definedName>
    <definedName name="France_Telecom_Netherlands_mobile_wholesale_subscribers">#REF!</definedName>
    <definedName name="France_Telecom_Poland_fixed_broadband_revenue__business">#REF!</definedName>
    <definedName name="France_Telecom_Poland_fixed_broadband_revenue__residential">#REF!</definedName>
    <definedName name="France_Telecom_Poland_fixed_broadband_revenue__residential___business">#REF!</definedName>
    <definedName name="France_Telecom_Poland_fixed_interconnect_receipts">#REF!</definedName>
    <definedName name="France_Telecom_Poland_fixed_interconnect_receipts_from_fixed_operators">#REF!</definedName>
    <definedName name="France_Telecom_Poland_fixed_interconnect_receipts_from_mobile_operators">#REF!</definedName>
    <definedName name="France_Telecom_Poland_fixed_other_revenue">#REF!</definedName>
    <definedName name="France_Telecom_Poland_fixed_retail_and_wholesale_services_revenue">#REF!</definedName>
    <definedName name="France_Telecom_Poland_fixed_retail_broadband_business_sites">#REF!</definedName>
    <definedName name="France_Telecom_Poland_fixed_retail_broadband_homes">#REF!</definedName>
    <definedName name="France_Telecom_Poland_fixed_retail_broadband_sites__homes_and_businesses">#REF!</definedName>
    <definedName name="France_Telecom_Poland_fixed_retail_business_sites">#REF!</definedName>
    <definedName name="France_Telecom_Poland_fixed_retail_homes">#REF!</definedName>
    <definedName name="France_Telecom_Poland_fixed_retail_lines__business">#REF!</definedName>
    <definedName name="France_Telecom_Poland_fixed_retail_lines__ISDN">#REF!</definedName>
    <definedName name="France_Telecom_Poland_fixed_retail_lines__PSTN">#REF!</definedName>
    <definedName name="France_Telecom_Poland_fixed_retail_lines__PSTN___ISDN">#REF!</definedName>
    <definedName name="France_Telecom_Poland_fixed_retail_lines__residential">#REF!</definedName>
    <definedName name="France_Telecom_Poland_fixed_retail_lines__residential___business">#REF!</definedName>
    <definedName name="France_Telecom_Poland_fixed_retail_revenue__business">#REF!</definedName>
    <definedName name="France_Telecom_Poland_fixed_retail_revenue__residential">#REF!</definedName>
    <definedName name="France_Telecom_Poland_fixed_retail_revenue__residential___business">#REF!</definedName>
    <definedName name="France_Telecom_Poland_fixed_revenue">#REF!</definedName>
    <definedName name="France_Telecom_Poland_fixed_wholesale_and_interconnect_services_revenue">#REF!</definedName>
    <definedName name="France_Telecom_Poland_fixed_wholesale_broadband_business_sites">#REF!</definedName>
    <definedName name="France_Telecom_Poland_fixed_wholesale_broadband_homes">#REF!</definedName>
    <definedName name="France_Telecom_Poland_fixed_wholesale_broadband_sites__homes_and_businesses">#REF!</definedName>
    <definedName name="France_Telecom_Poland_fixed_wholesale_business_sites">#REF!</definedName>
    <definedName name="France_Telecom_Poland_fixed_wholesale_homes">#REF!</definedName>
    <definedName name="France_Telecom_Poland_fixed_wholesale_lines__business">#REF!</definedName>
    <definedName name="France_Telecom_Poland_fixed_wholesale_lines__ISDN">#REF!</definedName>
    <definedName name="France_Telecom_Poland_fixed_wholesale_lines__PSTN">#REF!</definedName>
    <definedName name="France_Telecom_Poland_fixed_wholesale_lines__PSTN___ISDN">#REF!</definedName>
    <definedName name="France_Telecom_Poland_fixed_wholesale_lines__residential">#REF!</definedName>
    <definedName name="France_Telecom_Poland_fixed_wholesale_lines__residential___business">#REF!</definedName>
    <definedName name="France_Telecom_Poland_fixed_wholesale_revenue">#REF!</definedName>
    <definedName name="France_Telecom_Poland_mobile_interconnect_receipts">#REF!</definedName>
    <definedName name="France_Telecom_Poland_mobile_interconnect_receipts_from_fixed_operators">#REF!</definedName>
    <definedName name="France_Telecom_Poland_mobile_interconnect_receipts_from_mobile_operators">#REF!</definedName>
    <definedName name="France_Telecom_Poland_mobile_other_revenue">#REF!</definedName>
    <definedName name="France_Telecom_Poland_mobile_retail_and_wholesale_services_revenue">#REF!</definedName>
    <definedName name="France_Telecom_Poland_mobile_retail_revenue">#REF!</definedName>
    <definedName name="France_Telecom_Poland_mobile_retail_subscribers">#REF!</definedName>
    <definedName name="France_Telecom_Poland_mobile_revenue">#REF!</definedName>
    <definedName name="France_Telecom_Poland_mobile_wholesale_revenue">#REF!</definedName>
    <definedName name="France_Telecom_Poland_mobile_wholesale_subscribers">#REF!</definedName>
    <definedName name="France_Telecom_Romania_mobile_interconnect_receipts">#REF!</definedName>
    <definedName name="France_Telecom_Romania_mobile_interconnect_receipts_from_fixed_operators">#REF!</definedName>
    <definedName name="France_Telecom_Romania_mobile_interconnect_receipts_from_mobile_operators">#REF!</definedName>
    <definedName name="France_Telecom_Romania_mobile_other_revenue">#REF!</definedName>
    <definedName name="France_Telecom_Romania_mobile_retail_and_wholesale_services_revenue">#REF!</definedName>
    <definedName name="France_Telecom_Romania_mobile_retail_revenue">#REF!</definedName>
    <definedName name="France_Telecom_Romania_mobile_retail_subscribers">#REF!</definedName>
    <definedName name="France_Telecom_Romania_mobile_revenue">#REF!</definedName>
    <definedName name="France_Telecom_Romania_mobile_wholesale_revenue">#REF!</definedName>
    <definedName name="France_Telecom_Romania_mobile_wholesale_subscribers">#REF!</definedName>
    <definedName name="France_Telecom_Slovakia_mobile_interconnect_receipts">#REF!</definedName>
    <definedName name="France_Telecom_Slovakia_mobile_interconnect_receipts_from_fixed_operators">#REF!</definedName>
    <definedName name="France_Telecom_Slovakia_mobile_interconnect_receipts_from_mobile_operators">#REF!</definedName>
    <definedName name="France_Telecom_Slovakia_mobile_other_revenue">#REF!</definedName>
    <definedName name="France_Telecom_Slovakia_mobile_retail_and_wholesale_services_revenue">#REF!</definedName>
    <definedName name="France_Telecom_Slovakia_mobile_retail_revenue">#REF!</definedName>
    <definedName name="France_Telecom_Slovakia_mobile_retail_subscribers">#REF!</definedName>
    <definedName name="France_Telecom_Slovakia_mobile_revenue">#REF!</definedName>
    <definedName name="France_Telecom_Slovakia_mobile_wholesale_revenue">#REF!</definedName>
    <definedName name="France_Telecom_Slovakia_mobile_wholesale_subscribers">#REF!</definedName>
    <definedName name="France_Telecom_Switzerland_mobile_interconnect_receipts">#REF!</definedName>
    <definedName name="France_Telecom_Switzerland_mobile_interconnect_receipts_from_fixed_operators">#REF!</definedName>
    <definedName name="France_Telecom_Switzerland_mobile_interconnect_receipts_from_mobile_operators">#REF!</definedName>
    <definedName name="France_Telecom_Switzerland_mobile_other_revenue">#REF!</definedName>
    <definedName name="France_Telecom_Switzerland_mobile_retail_and_wholesale_services_revenue">#REF!</definedName>
    <definedName name="France_Telecom_Switzerland_mobile_retail_revenue">#REF!</definedName>
    <definedName name="France_Telecom_Switzerland_mobile_retail_subscribers">#REF!</definedName>
    <definedName name="France_Telecom_Switzerland_mobile_revenue">#REF!</definedName>
    <definedName name="France_Telecom_Switzerland_mobile_wholesale_revenue">#REF!</definedName>
    <definedName name="France_Telecom_Switzerland_mobile_wholesale_subscribers">#REF!</definedName>
    <definedName name="France_TelecomFrancefixedretail_revenue__residential">#REF!</definedName>
    <definedName name="FT">#REF!</definedName>
    <definedName name="g_Cumulative_Net_Income" hidden="1">[2]Results!$P$157:$AH$192</definedName>
    <definedName name="g_Discounted_Cash" hidden="1">[2]Results!$A$341:$M$376</definedName>
    <definedName name="g_Expenses" hidden="1">[2]Results!$P$203:$AH$238</definedName>
    <definedName name="g_IRR" hidden="1">[2]Results!$P$65:$AH$100</definedName>
    <definedName name="g_Net_Income" hidden="1">[2]Results!$A$157:$M$192</definedName>
    <definedName name="g_NPV" hidden="1">[2]Results!$A$65:$M$100</definedName>
    <definedName name="g_Service_Revenue" hidden="1">[2]Results!$A$203:$M$238</definedName>
    <definedName name="g_User_defined_1" hidden="1">[2]Results!$A$249:$M$284</definedName>
    <definedName name="g_User_defined_2" hidden="1">[2]Results!$P$249:$AH$284</definedName>
    <definedName name="g_User_defined_3" hidden="1">[2]Results!$A$295:$M$330</definedName>
    <definedName name="g_User_defined_4" hidden="1">[2]Results!$P$295:$AH$330</definedName>
    <definedName name="GBPUSD">[5]Summary!$C$84</definedName>
    <definedName name="gdps">#REF!</definedName>
    <definedName name="GOS" hidden="1">[2]Equipment!$E$23:$DT$23</definedName>
    <definedName name="GOSInput" hidden="1">'[2]Capex Input'!$E$36:$DT$36</definedName>
    <definedName name="Graphs" hidden="1">[2]Results!$A$49:$A$62</definedName>
    <definedName name="GrossAddDual" hidden="1">[2]Model!$E$104:$DT$104</definedName>
    <definedName name="GrossAddFromHSD" hidden="1">[2]Model!$E$102:$DT$102</definedName>
    <definedName name="GrossAddVoiceOnly" hidden="1">[2]Model!$E$100:$DT$100</definedName>
    <definedName name="GrossLineAdds" hidden="1">[2]Model!$E$107:$DT$107</definedName>
    <definedName name="GSR008Data" hidden="1">[2]Equipment!$E$143:$DT$143</definedName>
    <definedName name="GSR012Data" hidden="1">[2]Equipment!$E$191:$DT$191</definedName>
    <definedName name="GSR1OC12_CMTS" hidden="1">[2]Equipment!$E$131:$DT$131</definedName>
    <definedName name="GSR1OC12Data_CMTS" hidden="1">[2]Equipment!$E$140:$DT$140</definedName>
    <definedName name="GSR4OC12_DC" hidden="1">[2]Equipment!$E$179:$DT$179</definedName>
    <definedName name="GSR4OC12ATM" hidden="1">[2]Equipment!$E$182:$DT$182</definedName>
    <definedName name="GSR4OC12Data_DC" hidden="1">[2]Equipment!$E$188:$DT$188</definedName>
    <definedName name="GSR4OC3_CMTS" hidden="1">[2]Equipment!$E$128:$DT$128</definedName>
    <definedName name="GSR4OC3Data_CMTS" hidden="1">[2]Equipment!$E$137:$DT$137</definedName>
    <definedName name="GSRCapex" hidden="1">[2]Capex!$E$266:$DT$266</definedName>
    <definedName name="GSRLife" hidden="1">[2]Capex!$C$102</definedName>
    <definedName name="GSRMaint" hidden="1">[2]Capex!$E$291:$DT$291</definedName>
    <definedName name="h.IsCSM" hidden="1">"CSModel"</definedName>
    <definedName name="HHP" hidden="1">[2]Capex!$E$12:$DT$12</definedName>
    <definedName name="HHPInput" hidden="1">[2]Model!$E$71:$DT$71</definedName>
    <definedName name="HTML_CodePage" hidden="1">1252</definedName>
    <definedName name="HTML_Description" hidden="1">"IBN Products"</definedName>
    <definedName name="HTML_Email" hidden="1">""</definedName>
    <definedName name="HTML_Header" hidden="1">"Edit"</definedName>
    <definedName name="HTML_LastUpdate" hidden="1">"24/05/97"</definedName>
    <definedName name="HTML_LineAfter" hidden="1">FALSE</definedName>
    <definedName name="HTML_LineBefore" hidden="1">TRUE</definedName>
    <definedName name="HTML_Name" hidden="1">"Mike Bibbings"</definedName>
    <definedName name="HTML_OBDlg2" hidden="1">TRUE</definedName>
    <definedName name="HTML_OBDlg4" hidden="1">TRUE</definedName>
    <definedName name="HTML_OS" hidden="1">0</definedName>
    <definedName name="HTML_PathFile" hidden="1">"C:\My Documents\mmelHTML.htm"</definedName>
    <definedName name="HTML_Title" hidden="1">"Master Edit List"</definedName>
    <definedName name="HubSize" hidden="1">[2]Equipment!$E$17:$DT$17</definedName>
    <definedName name="HubSizeInput" hidden="1">'[2]Capex Input'!$E$27:$DT$27</definedName>
    <definedName name="I1.1989.09">[6]cuslink!#REF!</definedName>
    <definedName name="I1.1996.09">#REF!</definedName>
    <definedName name="inccred">#REF!</definedName>
    <definedName name="Income_Statement" hidden="1">'[2]Financial Statements'!$A$31:$A$65</definedName>
    <definedName name="income_tax_rate" hidden="1">[2]Model!$E$42</definedName>
    <definedName name="incpenprov">#REF!</definedName>
    <definedName name="increc">#REF!</definedName>
    <definedName name="incstock">#REF!</definedName>
    <definedName name="Intangible_Fixed_Assets">#REF!</definedName>
    <definedName name="InTC">#REF!</definedName>
    <definedName name="investments">#REF!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39420.5584027778</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smin">#REF!</definedName>
    <definedName name="issord">#REF!</definedName>
    <definedName name="ITC">#REF!</definedName>
    <definedName name="kk" hidden="1">#REF!</definedName>
    <definedName name="LATASize" hidden="1">[2]Equipment!$E$149:$DT$149</definedName>
    <definedName name="LATASizeInput" hidden="1">'[2]Capex Input'!$E$28:$DT$28</definedName>
    <definedName name="Leased">#REF!</definedName>
    <definedName name="LegalOk" hidden="1">"No"</definedName>
    <definedName name="limcount" hidden="1">1</definedName>
    <definedName name="Linerent">#REF!</definedName>
    <definedName name="Lines_per_100_pop">#REF!</definedName>
    <definedName name="LinesPerFN" hidden="1">[2]Equipment!$E$15:$DT$15</definedName>
    <definedName name="LinesPerSubInput" hidden="1">[2]Model!$E$77:$DT$77</definedName>
    <definedName name="lll" hidden="1">{#N/A,#N/A,FALSE,"Statement of Ops";#N/A,#N/A,FALSE,"Trend Ops"}</definedName>
    <definedName name="llll" hidden="1">{#N/A,#N/A,FALSE,"Statement of Ops";#N/A,#N/A,FALSE,"Trend Ops"}</definedName>
    <definedName name="lllll" hidden="1">{#N/A,#N/A,FALSE,"Statement of Ops";#N/A,#N/A,FALSE,"Trend Ops"}</definedName>
    <definedName name="LNPPct" hidden="1">[2]Model!$E$120:$DT$120</definedName>
    <definedName name="LookupAppRTU" hidden="1">'[2]BTS Tables'!$B$30:$B$81</definedName>
    <definedName name="LookupCPS" hidden="1">'[2]BTS Tables'!$A$3:$A$27</definedName>
    <definedName name="LookupLines" hidden="1">'[2]BTS Tables'!$A$30:$A$81</definedName>
    <definedName name="LookupPlatRTU" hidden="1">'[2]BTS Tables'!$B$3:$B$27</definedName>
    <definedName name="ltd">#REF!</definedName>
    <definedName name="MC16Data" hidden="1">[2]Equipment!$E$98:$DT$98</definedName>
    <definedName name="MC28Data" hidden="1">[2]Equipment!$E$95:$DT$95</definedName>
    <definedName name="md" hidden="1">[2]Model!$E$52</definedName>
    <definedName name="MGX" hidden="1">[2]Equipment!$E$161:$DT$161</definedName>
    <definedName name="MGXCapex" hidden="1">[2]Capex!$E$267:$DT$267</definedName>
    <definedName name="MGXLife" hidden="1">[2]Capex!$C$108</definedName>
    <definedName name="MGXMaint" hidden="1">[2]Capex!$E$292:$DT$292</definedName>
    <definedName name="minority">#REF!</definedName>
    <definedName name="MinPerLineLocal" hidden="1">[2]Model!$E$111:$DT$111</definedName>
    <definedName name="MinPerLineToll" hidden="1">[2]Model!$E$112:$DT$112</definedName>
    <definedName name="Mobile">#REF!</definedName>
    <definedName name="mv" hidden="1">[2]Model!$E$51</definedName>
    <definedName name="Net_Assets">#REF!</definedName>
    <definedName name="Net_Profit_SGW_Adjusted_">#REF!</definedName>
    <definedName name="netint">#REF!</definedName>
    <definedName name="netprofit">#REF!</definedName>
    <definedName name="ni_divs">#REF!</definedName>
    <definedName name="nidivs">#REF!</definedName>
    <definedName name="oldcueps">#REF!</definedName>
    <definedName name="OnNetMaxInput" hidden="1">'[2]Capex Input'!$E$29:$DT$29</definedName>
    <definedName name="Operations" hidden="1">[2]Model!$A$269:$A$412</definedName>
    <definedName name="oppro">#REF!</definedName>
    <definedName name="opprofit">#REF!</definedName>
    <definedName name="Oss">#REF!</definedName>
    <definedName name="OSSInput" hidden="1">'[2]Capex Input'!$E$144:$DT$144</definedName>
    <definedName name="Other_Long_Term_Liabilities">#REF!</definedName>
    <definedName name="Otherinc">#REF!</definedName>
    <definedName name="Otherop">#REF!</definedName>
    <definedName name="Otheropcf">#REF!</definedName>
    <definedName name="ownwork">#REF!</definedName>
    <definedName name="p" hidden="1">[2]Model!$E$53</definedName>
    <definedName name="pbt">#REF!</definedName>
    <definedName name="PentrData" hidden="1">[2]Equipment!$E$4:$DT$4</definedName>
    <definedName name="PentrDataInput" hidden="1">[2]Model!$E$76:$DT$76</definedName>
    <definedName name="PentrVoice" hidden="1">[2]Equipment!$E$2:$DT$2</definedName>
    <definedName name="PentrVoiceInput" hidden="1">[2]Model!$E$75:$DT$75</definedName>
    <definedName name="Peru">#REF!</definedName>
    <definedName name="PHSInput" hidden="1">'[2]Capex Input'!$E$35:$DT$35</definedName>
    <definedName name="PlatformInput" hidden="1">'[2]Capex Input'!$E$47:$DT$47</definedName>
    <definedName name="_xlnm.Print_Area" localSheetId="1">Master!$A$1:$AI$472</definedName>
    <definedName name="_xlnm.Print_Area">#REF!</definedName>
    <definedName name="_xlnm.Print_Titles">#REF!</definedName>
    <definedName name="ProjectName">{"Client Name or Project Name"}</definedName>
    <definedName name="PT_Portugal_fixed_export">#REF!</definedName>
    <definedName name="PT_Portugal_mobile_export">#REF!</definedName>
    <definedName name="Purchase_of_tangible_fixed_assets">#REF!</definedName>
    <definedName name="purfai">#REF!</definedName>
    <definedName name="pursub">#REF!</definedName>
    <definedName name="purtfa">#REF!</definedName>
    <definedName name="Q1.1996.06">#REF!</definedName>
    <definedName name="Q1_Account">#REF!</definedName>
    <definedName name="Q1_Coding">#REF!</definedName>
    <definedName name="Q1_Data">#REF!</definedName>
    <definedName name="Q1_Period">#REF!</definedName>
    <definedName name="Q1_TP">#REF!</definedName>
    <definedName name="Q2.1996.09">#REF!</definedName>
    <definedName name="Q2_Account">#REF!</definedName>
    <definedName name="Q2_Coding">#REF!</definedName>
    <definedName name="Q2_Data">#REF!</definedName>
    <definedName name="Q2_Period">#REF!</definedName>
    <definedName name="Q2_TP">#REF!</definedName>
    <definedName name="Q3.1996.12">#REF!</definedName>
    <definedName name="Q3_Account">#REF!</definedName>
    <definedName name="Q3_Coding">#REF!</definedName>
    <definedName name="Q3_Data">#REF!</definedName>
    <definedName name="Q3_Period">#REF!</definedName>
    <definedName name="Q3_TP">#REF!</definedName>
    <definedName name="Q4_Account">#REF!</definedName>
    <definedName name="Q4_Coding">#REF!</definedName>
    <definedName name="Q4_Data">#REF!</definedName>
    <definedName name="Q4_Period">#REF!</definedName>
    <definedName name="Q4_TP">#REF!</definedName>
    <definedName name="QC用労働時間有">'[7]03FY 2nd Hafl Latest Estimate'!$A$1:$A$2638</definedName>
    <definedName name="QC用労働時間無">'[7]03FY 2nd Hafl Latest Estimate'!$A$1:$D$618</definedName>
    <definedName name="Redundancy">#REF!</definedName>
    <definedName name="RedundantEdgeInput" hidden="1">'[2]Capex Input'!$E$51:$DT$51</definedName>
    <definedName name="RedundantGWInput" hidden="1">'[2]Capex Input'!$E$53:$DT$53</definedName>
    <definedName name="RedundNInput" hidden="1">'[2]Capex Input'!$E$58:$DT$58</definedName>
    <definedName name="Repdate1">#REF!</definedName>
    <definedName name="Repdate2">#REF!</definedName>
    <definedName name="Revenue">#REF!</definedName>
    <definedName name="RevFixed_05">[8]TPSA_Model!$O$468</definedName>
    <definedName name="RF" hidden="1">[2]Equipment!$E$92:$DT$92</definedName>
    <definedName name="RFData" hidden="1">[2]Equipment!$E$110:$DT$110</definedName>
    <definedName name="rngColData">'[9]RevCost Report'!$G$1:$Y$65536,'[9]RevCost Report'!$AA$1:$BV$65536</definedName>
    <definedName name="rngColHidden">'[9]RevCost Report'!$A$1:$B$65536,'[9]RevCost Report'!$D$1:$D$65536</definedName>
    <definedName name="rngHideMissingColumns">FALSE</definedName>
    <definedName name="rngHideMissingRows">FALSE</definedName>
    <definedName name="rngRowHidden">'[9]RevCost Report'!$A$4:$IV$5,'[9]RevCost Report'!$A$11:$IV$17</definedName>
    <definedName name="RoutesPerLATA" hidden="1">[2]Model!$E$114:$DT$114</definedName>
    <definedName name="Rpt_Month">[10]★ﾒﾆｭｰ!$I$31</definedName>
    <definedName name="Rpt_Year">[10]★ﾒﾆｭｰ!$I$30</definedName>
    <definedName name="salefa">#REF!</definedName>
    <definedName name="SalvagePct" hidden="1">[2]Model!$E$38</definedName>
    <definedName name="SampleInput" hidden="1">'[2]Capex Input'!$E$34:$DT$34</definedName>
    <definedName name="SAPBEXhrIndnt" hidden="1">1</definedName>
    <definedName name="SAPBEXrevision" hidden="1">0</definedName>
    <definedName name="SAPBEXsysID" hidden="1">"UBP"</definedName>
    <definedName name="SAPBEXwbID" hidden="1">"46ZQZIX9P9TMSSGKMZCTXHTXP"</definedName>
    <definedName name="sdsdsd" hidden="1">{#N/A,#N/A,FALSE,"Statement of Ops";#N/A,#N/A,FALSE,"Trend Ops"}</definedName>
    <definedName name="SecretArchiveNumber" hidden="1">1</definedName>
    <definedName name="Select_Inc_Exp">[11]Ref!$B$12</definedName>
    <definedName name="sencount" localSheetId="0" hidden="1">2</definedName>
    <definedName name="sencount" hidden="1">1</definedName>
    <definedName name="ServerHWCapex" hidden="1">[2]Capex!$E$268:$DT$268</definedName>
    <definedName name="ServerHWMaint" hidden="1">[2]Capex!$E$293:$DT$293</definedName>
    <definedName name="Services_and_Revenue" hidden="1">[2]Model!$A$126:$A$195</definedName>
    <definedName name="sfsdf" hidden="1">{#N/A,#N/A,FALSE,"Statement of Ops";#N/A,#N/A,FALSE,"Trend Ops"}</definedName>
    <definedName name="sharecap">#REF!</definedName>
    <definedName name="Sheetname_Instructions">[11]Ref!#REF!</definedName>
    <definedName name="show_base">[11]WaterFall_Prep!$U$1</definedName>
    <definedName name="show_newbase">[11]WaterFall_Prep!$W$1</definedName>
    <definedName name="show_pctchange">[11]WaterFall_Prep!$Y$1</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1</definedName>
    <definedName name="solver_val" hidden="1">0</definedName>
    <definedName name="SPAPrint">[12]SPA!$A$1:$AD$48,[12]SPA!$A$90:$AD$137</definedName>
    <definedName name="Staff">#REF!</definedName>
    <definedName name="staffcosts">#REF!</definedName>
    <definedName name="std">#REF!</definedName>
    <definedName name="stocks">#REF!</definedName>
    <definedName name="subs1" hidden="1">{"Monthly Rev",#N/A,FALSE,"DetRev";"Monthly Tech",#N/A,FALSE,"DetTech";"Monthly CSR",#N/A,FALSE,"DetCSR";"Monthly Mrkt",#N/A,FALSE,"DetMrkt";"Monthly Online",#N/A,FALSE,"DetOnline";"Monthly AdSales",#N/A,FALSE,"DetAdSales";"Monthly LO",#N/A,FALSE,"DETLO";"Monthly Admin",#N/A,FALSE,"DetAdmin";"Monthly Prod",#N/A,FALSE,"DetProd";"Headcount Monthly",#N/A,FALSE,"Headcount"}</definedName>
    <definedName name="subtotal">[13]基礎ﾃﾞｰﾀ!#REF!</definedName>
    <definedName name="TA">[7]Sheet3!$A$1:$E$196</definedName>
    <definedName name="Tangible_Fixed_Assets">#REF!</definedName>
    <definedName name="tax">#REF!</definedName>
    <definedName name="taxpaid">#REF!</definedName>
    <definedName name="telcopay">#REF!</definedName>
    <definedName name="Telesp">#REF!</definedName>
    <definedName name="Template.WIRE">"DBACCESS"</definedName>
    <definedName name="tfa">#REF!</definedName>
    <definedName name="Total_lines">#REF!</definedName>
    <definedName name="Trace">FALSE</definedName>
    <definedName name="Trend_Start">[10]★ﾒﾆｭｰ!$L$31</definedName>
    <definedName name="uBR10Data" hidden="1">[2]Equipment!$E$100:$DT$100</definedName>
    <definedName name="uBR1OC12" hidden="1">[2]Equipment!$E$91:$DT$91</definedName>
    <definedName name="uBR1OC12Data" hidden="1">[2]Equipment!$E$109:$DT$109</definedName>
    <definedName name="uBR1OC3" hidden="1">[2]Equipment!$E$88:$DT$88</definedName>
    <definedName name="uBR1OC3Data" hidden="1">[2]Equipment!$E$106:$DT$106</definedName>
    <definedName name="uBR7Data" hidden="1">[2]Equipment!$E$103:$DT$103</definedName>
    <definedName name="uBRCapex" hidden="1">[2]Capex!$E$265:$DT$265</definedName>
    <definedName name="uBRLife" hidden="1">[2]Capex!$C$92</definedName>
    <definedName name="uBRMaint" hidden="1">[2]Capex!$E$290:$DT$290</definedName>
    <definedName name="UK_population__ms">#REF!</definedName>
    <definedName name="UKPrint">[12]UK!$A$90:$AD$137,[12]UK!$A$1:$AD$48</definedName>
    <definedName name="unadjusted">#REF!</definedName>
    <definedName name="uOne" hidden="1">[2]Equipment!$E$259:$DT$259</definedName>
    <definedName name="UpgradeVersion">"v2.35"</definedName>
    <definedName name="UPIBVPrint">[12]UPIBV!$A$1:$AD$48,[12]UPIBV!$A$90:$AD$137</definedName>
    <definedName name="UPIOPrint">[12]UPIO!$A$90:$AD$137,[12]UPIO!$A$1:$AD$48</definedName>
    <definedName name="UPVPPrint">[12]UPVP!$A$1:$AD$48,[12]UPVP!$A$90:$AD$137</definedName>
    <definedName name="USBandwidth" hidden="1">[2]Equipment!$E$54:$DT$54</definedName>
    <definedName name="USDBRL">[5]Summary!$C$86</definedName>
    <definedName name="USDJPY">[5]Summary!$C$87</definedName>
    <definedName name="UsefulLife" hidden="1">[2]Model!$E$37</definedName>
    <definedName name="USPerDataSub" hidden="1">[2]Equipment!$E$31:$DT$31</definedName>
    <definedName name="USPerDataSubInput" hidden="1">'[2]Capex Input'!$E$43:$DT$43</definedName>
    <definedName name="USPerDom" hidden="1">[2]Equipment!$E$47:$DT$47</definedName>
    <definedName name="USPerDS0" hidden="1">[2]Equipment!$E$25:$DT$25</definedName>
    <definedName name="USUtil" hidden="1">[2]Equipment!$E$61:$DT$61</definedName>
    <definedName name="USUtilData" hidden="1">[2]Equipment!$E$66:$DT$66</definedName>
    <definedName name="valuearea">[14]data!$AQ$26:$CS$864</definedName>
    <definedName name="variance_logic">#REF!</definedName>
    <definedName name="VerintFixed" hidden="1">[2]Equipment!$E$244:$DT$244</definedName>
    <definedName name="VerintVar" hidden="1">[2]Equipment!$E$250:$DT$250</definedName>
    <definedName name="Version.WIRE">1</definedName>
    <definedName name="VISM" hidden="1">[2]Equipment!$E$159:$DT$159</definedName>
    <definedName name="VoiceLines" hidden="1">[2]Model!$E$83:$DT$83</definedName>
    <definedName name="VoiceSubs" hidden="1">[2]Model!$E$81:$DT$81</definedName>
    <definedName name="WANBandwidth" hidden="1">[2]Equipment!$E$55:$DT$55</definedName>
    <definedName name="WANPerDataSub" hidden="1">[2]Equipment!$E$32:$DT$32</definedName>
    <definedName name="WANPerDS0" hidden="1">[2]Equipment!$E$26:$DT$26</definedName>
    <definedName name="WANUtil" hidden="1">[2]Equipment!$E$62:$DT$62</definedName>
    <definedName name="WANUtilData" hidden="1">[2]Equipment!$E$67:$DT$67</definedName>
    <definedName name="WhoIs" hidden="1">"Developed by Cisco Systems, August 2002"</definedName>
    <definedName name="Workbook.Author">#REF!</definedName>
    <definedName name="Workbook.Authors_Email_Address">#REF!</definedName>
    <definedName name="Workbook.Objective">#REF!</definedName>
    <definedName name="Workbook.Status">#REF!</definedName>
    <definedName name="Workbook.Title">#REF!</definedName>
    <definedName name="Workbook.Version">#REF!</definedName>
    <definedName name="WORKBOOK_SAPBEXq0003" comment="DP_4">"DP_4"</definedName>
    <definedName name="WORKBOOK_SAPBEXq0004" comment="DP_5">"DP_5"</definedName>
    <definedName name="WORKBOOK_SAPBEXq0009" comment="DP_6">"DP_6"</definedName>
    <definedName name="WORKBOOK_SAPBEXq0010" comment="DP_7">"DP_7"</definedName>
    <definedName name="WORKBOOK_SAPBEXq0011" comment="DP_8">"DP_8"</definedName>
    <definedName name="WORKBOOK_SAPBEXq0012" comment="DP_9">"DP_9"</definedName>
    <definedName name="WORKBOOK_SAPBEXq0015" comment="DP_10">"DP_10"</definedName>
    <definedName name="wrn.4Q._.Report." hidden="1">{"Summary OCF",#N/A,FALSE,"Summary OCF";"Rev &amp; OCF",#N/A,FALSE,"Revenue and OCF";"Exp",#N/A,FALSE,"Expenses";"Subs",#N/A,FALSE,"Subscribers"}</definedName>
    <definedName name="wrn.Budget._.Annual." hidden="1">{"Annual P&amp;L",#N/A,TRUE,"P&amp;L";"Annual Revenue 1",#N/A,TRUE,"DetRev";"Annual Revenue 2",#N/A,TRUE,"DetRev";"Annual Tech",#N/A,TRUE,"DetTech";"Annual Customer Service",#N/A,TRUE,"DetCSR";"Annual Marketing",#N/A,TRUE,"DetMrkt";"Annual Online",#N/A,TRUE,"DetOnline";"Annual Telephony",#N/A,TRUE,"DetTelephony";"Annual Adsales",#N/A,TRUE,"DetAdSales";"Annual LO",#N/A,TRUE,"DETLO";"Annual Administration",#N/A,TRUE,"DetAdmin";"Annual Product",#N/A,TRUE,"DetProd";"Annual Manpower",#N/A,TRUE,"Manpower Summary"}</definedName>
    <definedName name="wrn.Budget._.Trend." hidden="1">{"Trend P&amp;L",#N/A,TRUE,"P&amp;L";"Trend Revenue 1",#N/A,TRUE,"DetRev";"Trend Revenue 2",#N/A,TRUE,"DetRev";"Trend Tech",#N/A,TRUE,"DetTech";"Trend Customer Service",#N/A,TRUE,"DetCSR";"Trend Marketing",#N/A,TRUE,"DetMrkt";"Trend Online",#N/A,TRUE,"DetOnline";"Trend Telephony",#N/A,TRUE,"DetTelephony";"Trend Adsales",#N/A,TRUE,"DetAdSales";"Trend LO",#N/A,TRUE,"DETLO";"Trend Administration",#N/A,TRUE,"DetAdmin";"Trend Product",#N/A,TRUE,"DetProd"}</definedName>
    <definedName name="wrn.Cable._.Headcount._.Reports." hidden="1">{"Headcount Annual",#N/A,FALSE,"Headcount";"Headcount Monthly",#N/A,FALSE,"Headcount"}</definedName>
    <definedName name="wrn.Capital." hidden="1">{"Capital",#N/A,FALSE,"CapSum"}</definedName>
    <definedName name="wrn.Capital._.Report." hidden="1">{"Capital",#N/A,FALSE,"CapSum"}</definedName>
    <definedName name="wrn.Capital._.Reports." hidden="1">{"Capital Summary",#N/A,FALSE,"CapSum";"Other Capital",#N/A,FALSE,"CapDet";"Construction Report",#N/A,FALSE,"ConstRep"}</definedName>
    <definedName name="wrn.Capital._.Summary." hidden="1">{"Capital",#N/A,FALSE,"CapSum"}</definedName>
    <definedName name="wrn.Current._.Month." hidden="1">{"current month",#N/A,FALSE,"Capitalization"}</definedName>
    <definedName name="wrn.Digital._.Sub._.Detail." hidden="1">{"Digital Detail",#N/A,FALSE,"Digital"}</definedName>
    <definedName name="wrn.Financial._.Reports." hidden="1">{#N/A,#N/A,FALSE,"Statement of Ops";#N/A,#N/A,FALSE,"Trend Ops";#N/A,#N/A,FALSE,"Revenue";#N/A,#N/A,FALSE,"Trend Rev";#N/A,#N/A,FALSE,"Tech";#N/A,#N/A,FALSE,"Trend Tech";#N/A,#N/A,FALSE,"Cust Serv";#N/A,#N/A,FALSE,"Trend Cust Serv";#N/A,#N/A,FALSE,"Marketing";#N/A,#N/A,FALSE,"Trend Marketing";#N/A,#N/A,FALSE,"Online";#N/A,#N/A,FALSE,"Trend Online";#N/A,#N/A,FALSE,"Telephony";#N/A,#N/A,FALSE,"Trend Telephony";#N/A,#N/A,FALSE,"Ad Sales";#N/A,#N/A,FALSE,"Trend Ad Sales";#N/A,#N/A,FALSE,"LO";#N/A,#N/A,FALSE,"Trend LO";#N/A,#N/A,FALSE,"Admin";#N/A,#N/A,FALSE,"Trend Admin";#N/A,#N/A,FALSE,"Product";#N/A,#N/A,FALSE,"Trend Product"}</definedName>
    <definedName name="wrn.Monthly._.Financial._.Reports." hidden="1">{"Monthly Rev",#N/A,FALSE,"DetRev";"Monthly Tech",#N/A,FALSE,"DetTech";"Monthly CSR",#N/A,FALSE,"DetCSR";"Monthly Mrkt",#N/A,FALSE,"DetMrkt";"Monthly Online",#N/A,FALSE,"DetOnline";"Monthly AdSales",#N/A,FALSE,"DetAdSales";"Monthly LO",#N/A,FALSE,"DETLO";"Monthly Admin",#N/A,FALSE,"DetAdmin";"Monthly Prod",#N/A,FALSE,"DetProd";"Headcount Monthly",#N/A,FALSE,"Headcount"}</definedName>
    <definedName name="wrn.No._.Ad._.Sales._.Reports." hidden="1">{"Annual P&amp;L NoAd",#N/A,FALSE,"P&amp;L No Ad Sales";"Annual Rev NoAd",#N/A,FALSE,"DetRev No Ad Sales";"Monthly P&amp;L NoAd",#N/A,FALSE,"P&amp;L No Ad Sales";"Monthly Rev NoAd",#N/A,FALSE,"DetRev No Ad Sales"}</definedName>
    <definedName name="wrn.No._.AdSales._.Annual." hidden="1">{"P&amp;L No Ads Annual",#N/A,TRUE,"P&amp;L No Ad Sales";"Revenue No Ads Annual",#N/A,TRUE,"DetRev No Ad Sales"}</definedName>
    <definedName name="wrn.No._.AdSales._.Financial." hidden="1">{"Annual P&amp;L No Ads",#N/A,TRUE,"Trend No AdSales";"Monthly P&amp;L No Ads",#N/A,TRUE,"Trend No AdSales";"Annual Rev no Ads",#N/A,TRUE,"Trend Rev No AdSales";"Monthly Rev No Ads",#N/A,TRUE,"Trend Rev No AdSales"}</definedName>
    <definedName name="wrn.No._.Adsales._.Reports." hidden="1">{"Trend P&amp;L No Adsales",#N/A,TRUE,"P&amp;L No Ad Sales";"Annual P&amp;L No Adsales",#N/A,TRUE,"P&amp;L No Ad Sales";"Trend Revenue no Adsales",#N/A,TRUE,"DetRev No AdSales";"Annual Revenue No AdSales",#N/A,TRUE,"DetRev No AdSales"}</definedName>
    <definedName name="wrn.No._.AdSales._.Trend." hidden="1">{"P&amp;L No Ads Trend",#N/A,TRUE,"P&amp;L No Ad Sales";"Revenue No Ads Trend",#N/A,TRUE,"DetRev No Ad Sales"}</definedName>
    <definedName name="wrn.Online._.Headcount._.Reports." hidden="1">{"Online Headcount Annual",#N/A,FALSE,"Headcount";"Online Headcount Monthly",#N/A,FALSE,"Headcount"}</definedName>
    <definedName name="wrn.Online._.Sub._.Detail." hidden="1">{"Online Detail",#N/A,FALSE,"OnLine"}</definedName>
    <definedName name="wrn.PandL." hidden="1">{"P&amp;L",#N/A,FALSE,"annual"}</definedName>
    <definedName name="wrn.Pay._.Sub._.Detail." hidden="1">{"Pay Detail",#N/A,FALSE,"Pay"}</definedName>
    <definedName name="wrn.Trend." hidden="1">{"trend",#N/A,TRUE,"Capitalization"}</definedName>
    <definedName name="wrn.Trend._.Reports." hidden="1">{"P&amp;L Trend",#N/A,TRUE,"P&amp;L";"Revenue Trend",#N/A,TRUE,"DetRev";"Tech Trend",#N/A,TRUE,"DetTech";"Customer Service Trend",#N/A,TRUE,"DetCSR";"Marketing Trend",#N/A,TRUE,"DetMrkt";"Online Trend",#N/A,TRUE,"DetOnline";"Telephony Trend",#N/A,TRUE,"DetTelephony";"Adsales Trend",#N/A,TRUE,"DetAdSales";"LO Trend",#N/A,TRUE,"DETLO";"Admin Trend",#N/A,TRUE,"DetAdmin";"Product Trend",#N/A,TRUE,"DetProd"}</definedName>
    <definedName name="wrn.Vodafone._.printout." hidden="1">{"Groupannual",#N/A,FALSE,"Groupannual";"VodMann",#N/A,FALSE,"VodMann";"Data",#N/A,FALSE,"Data";"Group International",#N/A,FALSE,"Group International";"BellAir",#N/A,FALSE,"BellAir";"DCF sum of parts",#N/A,FALSE,"DCF sum of parts";"licences",#N/A,FALSE,"licences"}</definedName>
    <definedName name="wwwwwwwwwwwww" hidden="1">{#N/A,#N/A,FALSE,"Statement of Ops";#N/A,#N/A,FALSE,"Trend Ops"}</definedName>
    <definedName name="xxxx" hidden="1">{"P&amp;L Annual",#N/A,FALSE,"P&amp;L";"Rev Annual",#N/A,FALSE,"DetRev";"Tech Annual",#N/A,FALSE,"DetTech";"CSR Annual",#N/A,FALSE,"DetCSR";"Marketing Annual",#N/A,FALSE,"DetMrkt";"Ad Sales Annual",#N/A,FALSE,"DetAdSales";"LO Annual",#N/A,FALSE,"DETLO";"Admin Annual",#N/A,FALSE,"DetAdmin";"Product Annual",#N/A,FALSE,"DetProd"}</definedName>
    <definedName name="Year_ending_March">#REF!</definedName>
    <definedName name="years">#REF!</definedName>
    <definedName name="Yellow">#REF!</definedName>
    <definedName name="YTDcomrange1">#REF!</definedName>
    <definedName name="YTDcomrange2">#REF!</definedName>
    <definedName name="Z_FB9FEF07_E23D_4093_B787_DA7C6E65880F_.wvu.PrintTitles" hidden="1">'[15]Inputs - Debt Roll'!$A$1:$F$65536,'[15]Inputs - Debt Roll'!$A$1:$IV$9</definedName>
    <definedName name="ｸﾞﾚｰ">'[16]ﾃﾞｰﾀ加工(MTD)'!$EY$4</definedName>
    <definedName name="ｸﾞﾚｰY">'[16]ﾃﾞｰﾀ加工(YTD)'!$EY$4</definedName>
    <definedName name="チケット別日別販売実績_DAT">#REF!</definedName>
    <definedName name="ベニューリスト">#REF!</definedName>
    <definedName name="元DATA">'[7]03FY 2nd Hafl Latest Estimate'!$B$2:$J$1450</definedName>
    <definedName name="利益処分計算">'[7]03FY 2nd Hafl Latest Estimate'!#REF!</definedName>
    <definedName name="勘定科目">#REF!</definedName>
    <definedName name="印刷01">'[7]03FY 2nd Hafl Latest Estimate'!$B$4:$Z$399</definedName>
    <definedName name="印刷02">'[7]03FY 2nd Hafl Latest Estimate'!$B$400:$Z$474</definedName>
    <definedName name="反転">'[16]ﾃﾞｰﾀ加工(MTD)'!$FC$4</definedName>
    <definedName name="反転Y">'[16]ﾃﾞｰﾀ加工(YTD)'!$FC$4</definedName>
    <definedName name="基本項目_FLAG">[13]基礎ﾃﾞｰﾀ!#REF!</definedName>
    <definedName name="消税率">#REF!</definedName>
  </definedNames>
  <calcPr calcId="191029" calcMode="manual"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65" i="1" l="1"/>
  <c r="I376" i="1"/>
  <c r="H398" i="1"/>
  <c r="H397" i="1"/>
  <c r="H394" i="1"/>
  <c r="H393" i="1"/>
  <c r="I23" i="1"/>
  <c r="H346" i="1"/>
  <c r="I351" i="1"/>
  <c r="R96" i="5"/>
  <c r="R104" i="5"/>
  <c r="J293" i="1"/>
  <c r="K293" i="1" s="1"/>
  <c r="O88" i="5"/>
  <c r="M88" i="5"/>
  <c r="L88" i="5"/>
  <c r="J82" i="5"/>
  <c r="J85" i="5"/>
  <c r="J88" i="5"/>
  <c r="I88" i="5"/>
  <c r="H88" i="5"/>
  <c r="K104" i="5"/>
  <c r="G104" i="5" s="1"/>
  <c r="I300" i="1"/>
  <c r="R121" i="5"/>
  <c r="Q121" i="5"/>
  <c r="P121" i="5" s="1"/>
  <c r="R120" i="5"/>
  <c r="Q120" i="5" s="1"/>
  <c r="P120" i="5" s="1"/>
  <c r="K332" i="1"/>
  <c r="L332" i="1" s="1"/>
  <c r="M332" i="1" s="1"/>
  <c r="N332" i="1" s="1"/>
  <c r="O332" i="1" s="1"/>
  <c r="P332" i="1" s="1"/>
  <c r="K330" i="1"/>
  <c r="L330" i="1" s="1"/>
  <c r="M330" i="1" s="1"/>
  <c r="N330" i="1" s="1"/>
  <c r="O330" i="1" s="1"/>
  <c r="P330" i="1" s="1"/>
  <c r="K317" i="1"/>
  <c r="L317" i="1" s="1"/>
  <c r="M317" i="1" s="1"/>
  <c r="N317" i="1" s="1"/>
  <c r="O317" i="1" s="1"/>
  <c r="P317" i="1" s="1"/>
  <c r="K319" i="1"/>
  <c r="L319" i="1" s="1"/>
  <c r="M319" i="1" s="1"/>
  <c r="N319" i="1" s="1"/>
  <c r="O319" i="1" s="1"/>
  <c r="P319" i="1" s="1"/>
  <c r="R112" i="5"/>
  <c r="Q112" i="5" s="1"/>
  <c r="P112" i="5" s="1"/>
  <c r="R111" i="5"/>
  <c r="Q111" i="5" s="1"/>
  <c r="P111" i="5" s="1"/>
  <c r="H247" i="1"/>
  <c r="G64" i="5"/>
  <c r="G61" i="5"/>
  <c r="J57" i="5"/>
  <c r="J64" i="5"/>
  <c r="H253" i="1"/>
  <c r="J61" i="5"/>
  <c r="J68" i="1"/>
  <c r="J67" i="1"/>
  <c r="J63" i="1"/>
  <c r="J62" i="1"/>
  <c r="J60" i="1"/>
  <c r="J57" i="1"/>
  <c r="J58" i="1"/>
  <c r="J56" i="1"/>
  <c r="J70" i="1"/>
  <c r="K70" i="1" s="1"/>
  <c r="L70" i="1" s="1"/>
  <c r="M70" i="1" s="1"/>
  <c r="N70" i="1" s="1"/>
  <c r="O70" i="1" s="1"/>
  <c r="P70" i="1" s="1"/>
  <c r="W17" i="1"/>
  <c r="X17" i="1" s="1"/>
  <c r="Y17" i="1" s="1"/>
  <c r="Z17" i="1" s="1"/>
  <c r="AA17" i="1" s="1"/>
  <c r="AB17" i="1" s="1"/>
  <c r="AC17" i="1" s="1"/>
  <c r="W16" i="1"/>
  <c r="X16" i="1" s="1"/>
  <c r="Y16" i="1" s="1"/>
  <c r="Z16" i="1" s="1"/>
  <c r="AA16" i="1" s="1"/>
  <c r="AB16" i="1" s="1"/>
  <c r="AC16" i="1" s="1"/>
  <c r="W15" i="1"/>
  <c r="X15" i="1" s="1"/>
  <c r="Y15" i="1" s="1"/>
  <c r="Z15" i="1" s="1"/>
  <c r="AA15" i="1" s="1"/>
  <c r="AB15" i="1" s="1"/>
  <c r="AC15" i="1" s="1"/>
  <c r="W14" i="1"/>
  <c r="X14" i="1" s="1"/>
  <c r="Y14" i="1" s="1"/>
  <c r="Z14" i="1" s="1"/>
  <c r="AA14" i="1" s="1"/>
  <c r="AB14" i="1" s="1"/>
  <c r="AC14" i="1" s="1"/>
  <c r="W13" i="1"/>
  <c r="X13" i="1" s="1"/>
  <c r="Y13" i="1" s="1"/>
  <c r="Z13" i="1" s="1"/>
  <c r="AA13" i="1" s="1"/>
  <c r="AB13" i="1" s="1"/>
  <c r="AC13" i="1" s="1"/>
  <c r="W12" i="1"/>
  <c r="X12" i="1" s="1"/>
  <c r="Y12" i="1" s="1"/>
  <c r="Z12" i="1" s="1"/>
  <c r="AA12" i="1" s="1"/>
  <c r="AB12" i="1" s="1"/>
  <c r="AC12" i="1" s="1"/>
  <c r="W11" i="1"/>
  <c r="X11" i="1" s="1"/>
  <c r="Y11" i="1" s="1"/>
  <c r="Z11" i="1" s="1"/>
  <c r="AA11" i="1" s="1"/>
  <c r="AB11" i="1" s="1"/>
  <c r="AC11" i="1" s="1"/>
  <c r="W10" i="1"/>
  <c r="X10" i="1" s="1"/>
  <c r="Y10" i="1" s="1"/>
  <c r="Z10" i="1" s="1"/>
  <c r="AA10" i="1" s="1"/>
  <c r="AB10" i="1" s="1"/>
  <c r="AC10" i="1" s="1"/>
  <c r="W9" i="1"/>
  <c r="X9" i="1" s="1"/>
  <c r="Y9" i="1" s="1"/>
  <c r="Z9" i="1" s="1"/>
  <c r="AA9" i="1" s="1"/>
  <c r="AB9" i="1" s="1"/>
  <c r="AC9" i="1" s="1"/>
  <c r="W8" i="1"/>
  <c r="X8" i="1" s="1"/>
  <c r="Y8" i="1" s="1"/>
  <c r="Z8" i="1" s="1"/>
  <c r="AA8" i="1" s="1"/>
  <c r="AB8" i="1" s="1"/>
  <c r="AC8" i="1" s="1"/>
  <c r="W7" i="1"/>
  <c r="X7" i="1" s="1"/>
  <c r="Y7" i="1" s="1"/>
  <c r="Z7" i="1" s="1"/>
  <c r="AA7" i="1" s="1"/>
  <c r="AB7" i="1" s="1"/>
  <c r="AC7" i="1" s="1"/>
  <c r="W6" i="1"/>
  <c r="X6" i="1" s="1"/>
  <c r="Y6" i="1" s="1"/>
  <c r="Z6" i="1" s="1"/>
  <c r="AA6" i="1" s="1"/>
  <c r="AB6" i="1" s="1"/>
  <c r="AC6" i="1" s="1"/>
  <c r="W5" i="1"/>
  <c r="X5" i="1" s="1"/>
  <c r="Y5" i="1" s="1"/>
  <c r="Z5" i="1" s="1"/>
  <c r="AA5" i="1" s="1"/>
  <c r="AB5" i="1" s="1"/>
  <c r="AC5" i="1" s="1"/>
  <c r="W20" i="1" l="1"/>
  <c r="X20" i="1" s="1"/>
  <c r="Y20" i="1" s="1"/>
  <c r="Z20" i="1" s="1"/>
  <c r="AA20" i="1" s="1"/>
  <c r="AB20" i="1" s="1"/>
  <c r="AC20" i="1" s="1"/>
  <c r="H98" i="1" l="1"/>
  <c r="J104" i="5"/>
  <c r="O106" i="5"/>
  <c r="H106" i="5"/>
  <c r="J286" i="1" l="1"/>
  <c r="O109" i="5"/>
  <c r="H292" i="1"/>
  <c r="H293" i="1" s="1"/>
  <c r="J55" i="1"/>
  <c r="J64" i="1"/>
  <c r="J66" i="1"/>
  <c r="N204" i="5"/>
  <c r="N190" i="5"/>
  <c r="N176" i="5"/>
  <c r="N215" i="5"/>
  <c r="N201" i="5"/>
  <c r="N187" i="5"/>
  <c r="N211" i="5"/>
  <c r="N213" i="5" s="1"/>
  <c r="N209" i="5"/>
  <c r="N207" i="5"/>
  <c r="N206" i="5"/>
  <c r="N205" i="5"/>
  <c r="N197" i="5"/>
  <c r="N199" i="5" s="1"/>
  <c r="N195" i="5"/>
  <c r="N193" i="5"/>
  <c r="N192" i="5"/>
  <c r="N191" i="5"/>
  <c r="N183" i="5"/>
  <c r="N185" i="5" s="1"/>
  <c r="N181" i="5"/>
  <c r="N179" i="5"/>
  <c r="N178" i="5"/>
  <c r="N177" i="5"/>
  <c r="N173" i="5"/>
  <c r="N171" i="5"/>
  <c r="N170" i="5"/>
  <c r="N169" i="5"/>
  <c r="N167" i="5"/>
  <c r="N165" i="5"/>
  <c r="N164" i="5"/>
  <c r="N163" i="5"/>
  <c r="N162" i="5"/>
  <c r="O215" i="5"/>
  <c r="O216" i="5" s="1"/>
  <c r="O212" i="5"/>
  <c r="O205" i="5"/>
  <c r="O213" i="5" s="1"/>
  <c r="O204" i="5"/>
  <c r="O201" i="5"/>
  <c r="O202" i="5" s="1"/>
  <c r="O198" i="5"/>
  <c r="O191" i="5"/>
  <c r="O199" i="5" s="1"/>
  <c r="O190" i="5"/>
  <c r="O187" i="5"/>
  <c r="O188" i="5" s="1"/>
  <c r="O184" i="5"/>
  <c r="O177" i="5"/>
  <c r="O185" i="5" s="1"/>
  <c r="O176" i="5"/>
  <c r="O173" i="5"/>
  <c r="O174" i="5" s="1"/>
  <c r="O170" i="5"/>
  <c r="O163" i="5"/>
  <c r="O171" i="5" s="1"/>
  <c r="O162" i="5"/>
  <c r="M188" i="5"/>
  <c r="M174" i="5"/>
  <c r="M215" i="5"/>
  <c r="M216" i="5" s="1"/>
  <c r="M212" i="5"/>
  <c r="M205" i="5"/>
  <c r="M213" i="5" s="1"/>
  <c r="M204" i="5"/>
  <c r="M201" i="5"/>
  <c r="M202" i="5" s="1"/>
  <c r="M198" i="5"/>
  <c r="M191" i="5"/>
  <c r="M199" i="5" s="1"/>
  <c r="M190" i="5"/>
  <c r="M187" i="5"/>
  <c r="M184" i="5"/>
  <c r="M177" i="5"/>
  <c r="M185" i="5" s="1"/>
  <c r="M176" i="5"/>
  <c r="M173" i="5"/>
  <c r="M170" i="5"/>
  <c r="M163" i="5"/>
  <c r="M171" i="5" s="1"/>
  <c r="M162" i="5"/>
  <c r="O154" i="5"/>
  <c r="M154" i="5"/>
  <c r="O151" i="5"/>
  <c r="M151" i="5"/>
  <c r="N125" i="5"/>
  <c r="N121" i="5"/>
  <c r="N120" i="5"/>
  <c r="O100" i="5"/>
  <c r="N118" i="5"/>
  <c r="N108" i="5"/>
  <c r="N114" i="5"/>
  <c r="N113" i="5"/>
  <c r="N112" i="5"/>
  <c r="N111" i="5"/>
  <c r="J114" i="5"/>
  <c r="J113" i="5"/>
  <c r="J112" i="5"/>
  <c r="J111" i="5"/>
  <c r="N88" i="5"/>
  <c r="N85" i="5"/>
  <c r="N86" i="5" s="1"/>
  <c r="N82" i="5"/>
  <c r="N83" i="5" s="1"/>
  <c r="H101" i="5"/>
  <c r="O101" i="5"/>
  <c r="N101" i="5"/>
  <c r="N93" i="5"/>
  <c r="N99" i="5"/>
  <c r="N104" i="5"/>
  <c r="M106" i="5"/>
  <c r="M116" i="5" s="1"/>
  <c r="M101" i="5"/>
  <c r="M100" i="5"/>
  <c r="O94" i="5"/>
  <c r="O96" i="5"/>
  <c r="M96" i="5"/>
  <c r="L96" i="5"/>
  <c r="M94" i="5"/>
  <c r="I86" i="5"/>
  <c r="H86" i="5"/>
  <c r="I83" i="5"/>
  <c r="H83" i="5"/>
  <c r="O89" i="5"/>
  <c r="M89" i="5"/>
  <c r="O86" i="5"/>
  <c r="M86" i="5"/>
  <c r="O83" i="5"/>
  <c r="M83" i="5"/>
  <c r="M76" i="5"/>
  <c r="N64" i="5"/>
  <c r="N61" i="5"/>
  <c r="N75" i="5" s="1"/>
  <c r="M75" i="5"/>
  <c r="O75" i="5"/>
  <c r="O76" i="5" s="1"/>
  <c r="O63" i="5"/>
  <c r="M63" i="5"/>
  <c r="O58" i="5"/>
  <c r="O59" i="5"/>
  <c r="M59" i="5"/>
  <c r="O78" i="5" l="1"/>
  <c r="O157" i="5" s="1"/>
  <c r="M78" i="5"/>
  <c r="M157" i="5" s="1"/>
  <c r="N89" i="5"/>
  <c r="N106" i="5"/>
  <c r="N109" i="5" s="1"/>
  <c r="N212" i="5"/>
  <c r="N198" i="5"/>
  <c r="N184" i="5"/>
  <c r="O116" i="5"/>
  <c r="M123" i="5"/>
  <c r="M126" i="5" s="1"/>
  <c r="M119" i="5"/>
  <c r="M109" i="5"/>
  <c r="O79" i="5" l="1"/>
  <c r="O119" i="5"/>
  <c r="O123" i="5"/>
  <c r="O126" i="5" s="1"/>
  <c r="M56" i="5" l="1"/>
  <c r="N56" i="5"/>
  <c r="O56" i="5"/>
  <c r="P56" i="5"/>
  <c r="O40" i="5"/>
  <c r="O39" i="5"/>
  <c r="O38" i="5"/>
  <c r="O37" i="5"/>
  <c r="O36" i="5" s="1"/>
  <c r="O42" i="5"/>
  <c r="M42" i="5"/>
  <c r="M40" i="5"/>
  <c r="M39" i="5"/>
  <c r="M38" i="5"/>
  <c r="M37" i="5"/>
  <c r="M36" i="5"/>
  <c r="L32" i="5"/>
  <c r="M32" i="5"/>
  <c r="O28" i="5"/>
  <c r="O27" i="5"/>
  <c r="O26" i="5"/>
  <c r="M28" i="5"/>
  <c r="M27" i="5"/>
  <c r="M26" i="5"/>
  <c r="O25" i="5"/>
  <c r="M25" i="5"/>
  <c r="O24" i="5"/>
  <c r="M24" i="5"/>
  <c r="O18" i="5"/>
  <c r="M18" i="5"/>
  <c r="N13" i="5"/>
  <c r="N11" i="5"/>
  <c r="N20" i="5"/>
  <c r="N14" i="5" s="1"/>
  <c r="N19" i="5"/>
  <c r="N18" i="5"/>
  <c r="N12" i="5" s="1"/>
  <c r="N17" i="5"/>
  <c r="O16" i="5"/>
  <c r="O10" i="5" s="1"/>
  <c r="O32" i="5" s="1"/>
  <c r="O14" i="5"/>
  <c r="O13" i="5"/>
  <c r="O11" i="5"/>
  <c r="M16" i="5"/>
  <c r="M10" i="5" s="1"/>
  <c r="M14" i="5"/>
  <c r="M13" i="5"/>
  <c r="M11" i="5"/>
  <c r="O4" i="5"/>
  <c r="O6" i="5"/>
  <c r="P3" i="5"/>
  <c r="O3" i="5"/>
  <c r="N8" i="5"/>
  <c r="N7" i="5"/>
  <c r="N5" i="5"/>
  <c r="M6" i="5"/>
  <c r="N6" i="5" s="1"/>
  <c r="M3" i="5"/>
  <c r="AK72" i="4"/>
  <c r="N16" i="5" l="1"/>
  <c r="N10" i="5" s="1"/>
  <c r="O12" i="5"/>
  <c r="M12" i="5"/>
  <c r="M4" i="5"/>
  <c r="N4" i="5"/>
  <c r="W211" i="8"/>
  <c r="W210" i="8"/>
  <c r="W215" i="8"/>
  <c r="W214" i="8"/>
  <c r="AK68" i="4" l="1"/>
  <c r="AK67" i="4" l="1"/>
  <c r="AK66" i="4" l="1"/>
  <c r="AK63" i="4" l="1"/>
  <c r="AK62" i="4" l="1"/>
  <c r="AK64" i="4" l="1"/>
  <c r="I215" i="5" l="1"/>
  <c r="C113" i="3" s="1"/>
  <c r="I201" i="5"/>
  <c r="C115" i="3" s="1"/>
  <c r="L201" i="5"/>
  <c r="L202" i="5" s="1"/>
  <c r="I187" i="5"/>
  <c r="C114" i="3" s="1"/>
  <c r="L187" i="5"/>
  <c r="D114" i="3" s="1"/>
  <c r="I173" i="5"/>
  <c r="C112" i="3" s="1"/>
  <c r="L173" i="5"/>
  <c r="E331" i="8"/>
  <c r="F330" i="8"/>
  <c r="F331" i="8" s="1"/>
  <c r="D330" i="8"/>
  <c r="D331" i="8" s="1"/>
  <c r="C330" i="8"/>
  <c r="C331" i="8" s="1"/>
  <c r="E328" i="8"/>
  <c r="D328" i="8"/>
  <c r="C328" i="8"/>
  <c r="C332" i="8" s="1"/>
  <c r="F328" i="8"/>
  <c r="H304" i="8"/>
  <c r="G304" i="8"/>
  <c r="E304" i="8"/>
  <c r="E305" i="8" s="1"/>
  <c r="D304" i="8"/>
  <c r="C304" i="8"/>
  <c r="I277" i="8"/>
  <c r="J304" i="8" s="1"/>
  <c r="E277" i="8"/>
  <c r="F304" i="8" s="1"/>
  <c r="I303" i="8"/>
  <c r="H303" i="8"/>
  <c r="H305" i="8" s="1"/>
  <c r="G303" i="8"/>
  <c r="F303" i="8"/>
  <c r="E303" i="8"/>
  <c r="D303" i="8"/>
  <c r="C303" i="8"/>
  <c r="J303" i="8"/>
  <c r="A276" i="8"/>
  <c r="L63" i="5"/>
  <c r="J293" i="8"/>
  <c r="I293" i="8"/>
  <c r="H293" i="8"/>
  <c r="G293" i="8"/>
  <c r="F293" i="8"/>
  <c r="E293" i="8"/>
  <c r="D293" i="8"/>
  <c r="C293" i="8"/>
  <c r="B293" i="8"/>
  <c r="A292" i="8"/>
  <c r="A40" i="5"/>
  <c r="A39" i="5"/>
  <c r="A38" i="5"/>
  <c r="A37" i="5"/>
  <c r="J268" i="8"/>
  <c r="I268" i="8"/>
  <c r="H268" i="8"/>
  <c r="G268" i="8"/>
  <c r="F268" i="8"/>
  <c r="E268" i="8"/>
  <c r="D268" i="8"/>
  <c r="C268" i="8"/>
  <c r="A260" i="8"/>
  <c r="J269" i="8"/>
  <c r="I269" i="8"/>
  <c r="H269" i="8"/>
  <c r="G269" i="8"/>
  <c r="F269" i="8"/>
  <c r="E269" i="8"/>
  <c r="D269" i="8"/>
  <c r="C269" i="8"/>
  <c r="B135" i="3"/>
  <c r="C135" i="3"/>
  <c r="D103" i="3"/>
  <c r="D102" i="3"/>
  <c r="D100" i="3"/>
  <c r="D91" i="3"/>
  <c r="D90" i="3"/>
  <c r="D88" i="3"/>
  <c r="F200" i="8"/>
  <c r="E200" i="8"/>
  <c r="D200" i="8"/>
  <c r="C200" i="8"/>
  <c r="B200" i="8"/>
  <c r="F114" i="3" l="1"/>
  <c r="L174" i="5"/>
  <c r="D115" i="3"/>
  <c r="L188" i="5"/>
  <c r="D112" i="3"/>
  <c r="F112" i="3" s="1"/>
  <c r="G305" i="8"/>
  <c r="D332" i="8"/>
  <c r="F305" i="8"/>
  <c r="E332" i="8"/>
  <c r="C305" i="8"/>
  <c r="D305" i="8"/>
  <c r="J305" i="8"/>
  <c r="I304" i="8"/>
  <c r="I305" i="8" s="1"/>
  <c r="F332" i="8"/>
  <c r="C209" i="8" l="1"/>
  <c r="D209" i="8" s="1"/>
  <c r="E209" i="8" s="1"/>
  <c r="F209" i="8" s="1"/>
  <c r="C206" i="8"/>
  <c r="D206" i="8" s="1"/>
  <c r="E206" i="8" s="1"/>
  <c r="F206" i="8" s="1"/>
  <c r="C205" i="8"/>
  <c r="D205" i="8" s="1"/>
  <c r="E205" i="8" s="1"/>
  <c r="F205" i="8" s="1"/>
  <c r="C204" i="8"/>
  <c r="D204" i="8" s="1"/>
  <c r="E204" i="8" s="1"/>
  <c r="F204" i="8" s="1"/>
  <c r="B202" i="8"/>
  <c r="B207" i="8" s="1"/>
  <c r="B210" i="8" s="1"/>
  <c r="C201" i="8"/>
  <c r="D201" i="8" s="1"/>
  <c r="C194" i="8"/>
  <c r="D194" i="8" s="1"/>
  <c r="E194" i="8" s="1"/>
  <c r="F194" i="8" s="1"/>
  <c r="C191" i="8"/>
  <c r="D191" i="8" s="1"/>
  <c r="E191" i="8" s="1"/>
  <c r="F191" i="8" s="1"/>
  <c r="C190" i="8"/>
  <c r="D190" i="8" s="1"/>
  <c r="E190" i="8" s="1"/>
  <c r="F190" i="8" s="1"/>
  <c r="C189" i="8"/>
  <c r="D189" i="8" s="1"/>
  <c r="E189" i="8" s="1"/>
  <c r="F189" i="8" s="1"/>
  <c r="B187" i="8"/>
  <c r="B192" i="8" s="1"/>
  <c r="B195" i="8" s="1"/>
  <c r="C186" i="8"/>
  <c r="C187" i="8" s="1"/>
  <c r="B181" i="8"/>
  <c r="C181" i="8" s="1"/>
  <c r="C169" i="8"/>
  <c r="D169" i="8" s="1"/>
  <c r="E169" i="8" s="1"/>
  <c r="F169" i="8" s="1"/>
  <c r="C154" i="8"/>
  <c r="D154" i="8" s="1"/>
  <c r="E154" i="8" s="1"/>
  <c r="F154" i="8" s="1"/>
  <c r="B144" i="8"/>
  <c r="B143" i="8" s="1"/>
  <c r="F121" i="8"/>
  <c r="E121" i="8"/>
  <c r="D121" i="8"/>
  <c r="C121" i="8"/>
  <c r="B121" i="8"/>
  <c r="F73" i="8"/>
  <c r="E73" i="8"/>
  <c r="E53" i="8"/>
  <c r="E54" i="8" s="1"/>
  <c r="D53" i="8"/>
  <c r="D54" i="8" s="1"/>
  <c r="F52" i="8"/>
  <c r="E52" i="8"/>
  <c r="D52" i="8"/>
  <c r="C52" i="8"/>
  <c r="B52" i="8"/>
  <c r="H28" i="8"/>
  <c r="H37" i="8" s="1"/>
  <c r="E9" i="8"/>
  <c r="C144" i="8" l="1"/>
  <c r="C192" i="8"/>
  <c r="C202" i="8"/>
  <c r="C207" i="8" s="1"/>
  <c r="C210" i="8" s="1"/>
  <c r="B180" i="8"/>
  <c r="C195" i="8"/>
  <c r="B179" i="8"/>
  <c r="B218" i="8" s="1"/>
  <c r="C180" i="8"/>
  <c r="D181" i="8"/>
  <c r="E201" i="8"/>
  <c r="D202" i="8"/>
  <c r="D207" i="8" s="1"/>
  <c r="D210" i="8" s="1"/>
  <c r="D186" i="8"/>
  <c r="D144" i="8" l="1"/>
  <c r="C143" i="8"/>
  <c r="C179" i="8"/>
  <c r="C218" i="8" s="1"/>
  <c r="D187" i="8"/>
  <c r="D192" i="8" s="1"/>
  <c r="D195" i="8" s="1"/>
  <c r="E186" i="8"/>
  <c r="E181" i="8"/>
  <c r="D180" i="8"/>
  <c r="F201" i="8"/>
  <c r="F202" i="8" s="1"/>
  <c r="F207" i="8" s="1"/>
  <c r="F210" i="8" s="1"/>
  <c r="E202" i="8"/>
  <c r="E207" i="8" s="1"/>
  <c r="E210" i="8" s="1"/>
  <c r="E144" i="8" l="1"/>
  <c r="D143" i="8"/>
  <c r="D179" i="8"/>
  <c r="D218" i="8" s="1"/>
  <c r="E187" i="8"/>
  <c r="E192" i="8" s="1"/>
  <c r="E195" i="8" s="1"/>
  <c r="F186" i="8"/>
  <c r="F187" i="8" s="1"/>
  <c r="F192" i="8" s="1"/>
  <c r="F195" i="8" s="1"/>
  <c r="F181" i="8"/>
  <c r="F180" i="8" s="1"/>
  <c r="E180" i="8"/>
  <c r="F144" i="8" l="1"/>
  <c r="F143" i="8" s="1"/>
  <c r="E143" i="8"/>
  <c r="F179" i="8"/>
  <c r="F218" i="8" s="1"/>
  <c r="E179" i="8"/>
  <c r="E218" i="8" s="1"/>
  <c r="L212" i="5" l="1"/>
  <c r="L205" i="5"/>
  <c r="L213" i="5" s="1"/>
  <c r="L204" i="5"/>
  <c r="L198" i="5"/>
  <c r="L191" i="5"/>
  <c r="L199" i="5" s="1"/>
  <c r="L190" i="5"/>
  <c r="L184" i="5"/>
  <c r="L177" i="5"/>
  <c r="L185" i="5" s="1"/>
  <c r="L176" i="5"/>
  <c r="L170" i="5"/>
  <c r="L163" i="5"/>
  <c r="L171" i="5" s="1"/>
  <c r="L162" i="5"/>
  <c r="L151" i="5"/>
  <c r="L101" i="5" l="1"/>
  <c r="L100" i="5"/>
  <c r="L94" i="5"/>
  <c r="L86" i="5"/>
  <c r="L83" i="5"/>
  <c r="L106" i="5"/>
  <c r="L109" i="5" s="1"/>
  <c r="L89" i="5"/>
  <c r="L59" i="5"/>
  <c r="F9" i="8" s="1"/>
  <c r="L56" i="5"/>
  <c r="J8" i="5"/>
  <c r="K8" i="5" s="1"/>
  <c r="J7" i="5"/>
  <c r="K7" i="5" s="1"/>
  <c r="J6" i="5"/>
  <c r="K6" i="5" s="1"/>
  <c r="J5" i="5"/>
  <c r="K5" i="5" s="1"/>
  <c r="L14" i="5"/>
  <c r="D97" i="3" s="1"/>
  <c r="L13" i="5"/>
  <c r="D96" i="3" s="1"/>
  <c r="L11" i="5"/>
  <c r="D94" i="3" s="1"/>
  <c r="L18" i="5"/>
  <c r="L6" i="5"/>
  <c r="L4" i="5" s="1"/>
  <c r="D319" i="8" s="1"/>
  <c r="L3" i="5"/>
  <c r="D89" i="3" l="1"/>
  <c r="L215" i="5"/>
  <c r="D101" i="3"/>
  <c r="D87" i="3"/>
  <c r="K28" i="8"/>
  <c r="K37" i="8" s="1"/>
  <c r="L116" i="5"/>
  <c r="L123" i="5" s="1"/>
  <c r="L126" i="5" s="1"/>
  <c r="L25" i="5"/>
  <c r="L28" i="5"/>
  <c r="L12" i="5"/>
  <c r="D95" i="3" s="1"/>
  <c r="L27" i="5"/>
  <c r="K4" i="5"/>
  <c r="L26" i="5"/>
  <c r="L16" i="5"/>
  <c r="J4" i="5"/>
  <c r="F171" i="2"/>
  <c r="E197" i="2"/>
  <c r="F181" i="2"/>
  <c r="A75" i="3"/>
  <c r="A74" i="3"/>
  <c r="A73" i="3"/>
  <c r="A72" i="3"/>
  <c r="B64" i="3"/>
  <c r="F79" i="3"/>
  <c r="E79" i="3"/>
  <c r="B67" i="3"/>
  <c r="B66" i="3"/>
  <c r="G75" i="5"/>
  <c r="E67" i="3"/>
  <c r="F66" i="3"/>
  <c r="E66" i="3"/>
  <c r="F65" i="3"/>
  <c r="E65" i="3"/>
  <c r="C97" i="3"/>
  <c r="B97" i="3"/>
  <c r="C96" i="3"/>
  <c r="B96" i="3"/>
  <c r="C95" i="3"/>
  <c r="B95" i="3"/>
  <c r="C94" i="3"/>
  <c r="B94" i="3"/>
  <c r="C93" i="3"/>
  <c r="B93" i="3"/>
  <c r="C91" i="3"/>
  <c r="B91" i="3"/>
  <c r="J97" i="3" s="1"/>
  <c r="C90" i="3"/>
  <c r="B90" i="3"/>
  <c r="J96" i="3" s="1"/>
  <c r="C89" i="3"/>
  <c r="B89" i="3"/>
  <c r="J95" i="3" s="1"/>
  <c r="C88" i="3"/>
  <c r="B88" i="3"/>
  <c r="J94" i="3" s="1"/>
  <c r="A103" i="3"/>
  <c r="A102" i="3"/>
  <c r="A101" i="3"/>
  <c r="A100" i="3"/>
  <c r="A99" i="3"/>
  <c r="A97" i="3"/>
  <c r="A115" i="3" s="1"/>
  <c r="A96" i="3"/>
  <c r="A114" i="3" s="1"/>
  <c r="A95" i="3"/>
  <c r="A113" i="3" s="1"/>
  <c r="A94" i="3"/>
  <c r="A112" i="3" s="1"/>
  <c r="A93" i="3"/>
  <c r="A91" i="3"/>
  <c r="A90" i="3"/>
  <c r="A89" i="3"/>
  <c r="A88" i="3"/>
  <c r="A87" i="3"/>
  <c r="AC148" i="5"/>
  <c r="I151" i="5"/>
  <c r="H151" i="5"/>
  <c r="I149" i="5"/>
  <c r="I290" i="5"/>
  <c r="H290" i="5" s="1"/>
  <c r="I289" i="5"/>
  <c r="H289" i="5" s="1"/>
  <c r="I288" i="5"/>
  <c r="H288" i="5" s="1"/>
  <c r="I287" i="5"/>
  <c r="H287" i="5" s="1"/>
  <c r="W170" i="5"/>
  <c r="W169" i="5"/>
  <c r="V171" i="5"/>
  <c r="V170" i="5"/>
  <c r="I265" i="5"/>
  <c r="I271" i="5" s="1"/>
  <c r="I264" i="5"/>
  <c r="I263" i="5"/>
  <c r="I262" i="5"/>
  <c r="I261" i="5"/>
  <c r="I260" i="5"/>
  <c r="I259" i="5"/>
  <c r="I258" i="5"/>
  <c r="I257" i="5"/>
  <c r="I256" i="5"/>
  <c r="I255" i="5"/>
  <c r="I254" i="5"/>
  <c r="I253" i="5"/>
  <c r="I59" i="5"/>
  <c r="I63" i="5"/>
  <c r="L216" i="5" l="1"/>
  <c r="D113" i="3"/>
  <c r="A139" i="3"/>
  <c r="A109" i="3"/>
  <c r="A136" i="3"/>
  <c r="A106" i="3"/>
  <c r="A137" i="3"/>
  <c r="A107" i="3"/>
  <c r="A138" i="3"/>
  <c r="A108" i="3"/>
  <c r="C79" i="3"/>
  <c r="L119" i="5"/>
  <c r="D106" i="3"/>
  <c r="C106" i="3"/>
  <c r="D129" i="3"/>
  <c r="C107" i="3"/>
  <c r="L10" i="5"/>
  <c r="D99" i="3"/>
  <c r="C108" i="3"/>
  <c r="D108" i="3"/>
  <c r="D130" i="3"/>
  <c r="C109" i="3"/>
  <c r="D109" i="3"/>
  <c r="D107" i="3"/>
  <c r="L24" i="5"/>
  <c r="L30" i="5" s="1"/>
  <c r="D320" i="8" s="1"/>
  <c r="L75" i="5"/>
  <c r="D111" i="3" s="1"/>
  <c r="L154" i="5"/>
  <c r="L78" i="5"/>
  <c r="G79" i="3"/>
  <c r="I274" i="5"/>
  <c r="C65" i="3"/>
  <c r="C80" i="3" s="1"/>
  <c r="I273" i="5"/>
  <c r="C66" i="3"/>
  <c r="D66" i="3" s="1"/>
  <c r="G65" i="3"/>
  <c r="E77" i="3"/>
  <c r="F77" i="3"/>
  <c r="G66" i="3"/>
  <c r="E80" i="3"/>
  <c r="F80" i="3"/>
  <c r="I152" i="5"/>
  <c r="I272" i="5"/>
  <c r="X170" i="5"/>
  <c r="I32" i="5"/>
  <c r="A28" i="5"/>
  <c r="A27" i="5"/>
  <c r="A26" i="5"/>
  <c r="A25" i="5"/>
  <c r="I28" i="5"/>
  <c r="I27" i="5"/>
  <c r="I26" i="5"/>
  <c r="I25" i="5"/>
  <c r="R3" i="5"/>
  <c r="Q3" i="5"/>
  <c r="N3" i="5"/>
  <c r="K3" i="5"/>
  <c r="J3" i="5"/>
  <c r="AC3" i="5"/>
  <c r="I3" i="5"/>
  <c r="R56" i="5"/>
  <c r="Q56" i="5"/>
  <c r="K56" i="5"/>
  <c r="J56" i="5"/>
  <c r="AC56" i="5"/>
  <c r="H56" i="5"/>
  <c r="H116" i="5"/>
  <c r="H119" i="5" s="1"/>
  <c r="H96" i="5"/>
  <c r="E82" i="3" s="1"/>
  <c r="H89" i="5"/>
  <c r="H20" i="5"/>
  <c r="H19" i="5"/>
  <c r="H18" i="5"/>
  <c r="H17" i="5"/>
  <c r="H4" i="5"/>
  <c r="H3" i="5"/>
  <c r="I212" i="5"/>
  <c r="I205" i="5"/>
  <c r="I204" i="5"/>
  <c r="I198" i="5"/>
  <c r="I191" i="5"/>
  <c r="I190" i="5"/>
  <c r="I177" i="5"/>
  <c r="I184" i="5"/>
  <c r="I176" i="5"/>
  <c r="I170" i="5"/>
  <c r="I163" i="5"/>
  <c r="I162" i="5"/>
  <c r="I56" i="5"/>
  <c r="I106" i="5"/>
  <c r="I109" i="5" s="1"/>
  <c r="I94" i="5"/>
  <c r="I96" i="5"/>
  <c r="F82" i="3" s="1"/>
  <c r="F83" i="3" s="1"/>
  <c r="I89" i="5"/>
  <c r="I72" i="5"/>
  <c r="F75" i="3" s="1"/>
  <c r="I71" i="5"/>
  <c r="F74" i="3" s="1"/>
  <c r="I70" i="5"/>
  <c r="F73" i="3" s="1"/>
  <c r="I69" i="5"/>
  <c r="F72" i="3" s="1"/>
  <c r="I20" i="5"/>
  <c r="I19" i="5"/>
  <c r="I18" i="5"/>
  <c r="I17" i="5"/>
  <c r="I4" i="5"/>
  <c r="I101" i="5"/>
  <c r="I100" i="5"/>
  <c r="F67" i="3"/>
  <c r="C67" i="3" s="1"/>
  <c r="D67" i="3" s="1"/>
  <c r="H94" i="5"/>
  <c r="H100" i="5"/>
  <c r="B16" i="7"/>
  <c r="L157" i="5" l="1"/>
  <c r="M79" i="5"/>
  <c r="I28" i="8"/>
  <c r="I37" i="8" s="1"/>
  <c r="I38" i="8" s="1"/>
  <c r="B319" i="8"/>
  <c r="J262" i="8"/>
  <c r="D317" i="8"/>
  <c r="J28" i="8"/>
  <c r="J37" i="8" s="1"/>
  <c r="J38" i="8" s="1"/>
  <c r="J278" i="8"/>
  <c r="C319" i="8"/>
  <c r="D321" i="8" s="1"/>
  <c r="C105" i="3"/>
  <c r="D105" i="3"/>
  <c r="B103" i="3"/>
  <c r="I40" i="5"/>
  <c r="B102" i="3"/>
  <c r="I39" i="5"/>
  <c r="B101" i="3"/>
  <c r="I38" i="5"/>
  <c r="B100" i="3"/>
  <c r="I37" i="5"/>
  <c r="D93" i="3"/>
  <c r="F53" i="8"/>
  <c r="C87" i="3"/>
  <c r="F64" i="3" s="1"/>
  <c r="C64" i="3" s="1"/>
  <c r="C82" i="3"/>
  <c r="I292" i="5"/>
  <c r="C102" i="3"/>
  <c r="K96" i="3" s="1"/>
  <c r="J19" i="5"/>
  <c r="C100" i="3"/>
  <c r="K94" i="3" s="1"/>
  <c r="J17" i="5"/>
  <c r="C103" i="3"/>
  <c r="K97" i="3" s="1"/>
  <c r="J20" i="5"/>
  <c r="G67" i="3"/>
  <c r="C101" i="3"/>
  <c r="K95" i="3" s="1"/>
  <c r="J18" i="5"/>
  <c r="F84" i="3"/>
  <c r="H154" i="5"/>
  <c r="B87" i="3"/>
  <c r="E64" i="3" s="1"/>
  <c r="E83" i="3"/>
  <c r="C83" i="3" s="1"/>
  <c r="C84" i="3" s="1"/>
  <c r="I154" i="5"/>
  <c r="I185" i="5"/>
  <c r="I279" i="5"/>
  <c r="H279" i="5" s="1"/>
  <c r="I199" i="5"/>
  <c r="I280" i="5"/>
  <c r="H280" i="5" s="1"/>
  <c r="I171" i="5"/>
  <c r="I278" i="5"/>
  <c r="H278" i="5" s="1"/>
  <c r="V169" i="5"/>
  <c r="X169" i="5" s="1"/>
  <c r="I213" i="5"/>
  <c r="I281" i="5"/>
  <c r="H281" i="5" s="1"/>
  <c r="I66" i="5"/>
  <c r="W171" i="5"/>
  <c r="X171" i="5" s="1"/>
  <c r="I24" i="5"/>
  <c r="I30" i="5" s="1"/>
  <c r="C320" i="8" s="1"/>
  <c r="I75" i="5"/>
  <c r="C111" i="3" s="1"/>
  <c r="H75" i="5"/>
  <c r="H78" i="5"/>
  <c r="H157" i="5" s="1"/>
  <c r="I78" i="5"/>
  <c r="I157" i="5" s="1"/>
  <c r="H109" i="5"/>
  <c r="H123" i="5"/>
  <c r="H126" i="5" s="1"/>
  <c r="H16" i="5"/>
  <c r="B99" i="3" s="1"/>
  <c r="I116" i="5"/>
  <c r="I16" i="5"/>
  <c r="C99" i="3" s="1"/>
  <c r="C50" i="3"/>
  <c r="D50" i="3" s="1"/>
  <c r="E50" i="3" s="1"/>
  <c r="F50" i="3" s="1"/>
  <c r="G50" i="3" s="1"/>
  <c r="I262" i="8" l="1"/>
  <c r="J270" i="8" s="1"/>
  <c r="C317" i="8"/>
  <c r="D318" i="8" s="1"/>
  <c r="D322" i="8" s="1"/>
  <c r="C321" i="8"/>
  <c r="I278" i="8"/>
  <c r="I36" i="5"/>
  <c r="I42" i="5" s="1"/>
  <c r="I43" i="5" s="1"/>
  <c r="I294" i="8" s="1"/>
  <c r="E69" i="3"/>
  <c r="J75" i="5"/>
  <c r="K75" i="5" s="1"/>
  <c r="G64" i="3"/>
  <c r="L79" i="5"/>
  <c r="F69" i="3"/>
  <c r="L76" i="5"/>
  <c r="E84" i="3"/>
  <c r="K19" i="5"/>
  <c r="L39" i="5" s="1"/>
  <c r="J13" i="5"/>
  <c r="K20" i="5"/>
  <c r="L40" i="5" s="1"/>
  <c r="J14" i="5"/>
  <c r="K18" i="5"/>
  <c r="L38" i="5" s="1"/>
  <c r="J12" i="5"/>
  <c r="K17" i="5"/>
  <c r="J11" i="5"/>
  <c r="J16" i="5"/>
  <c r="J10" i="5" s="1"/>
  <c r="I155" i="5"/>
  <c r="I158" i="5"/>
  <c r="I283" i="5"/>
  <c r="I79" i="5"/>
  <c r="I76" i="5"/>
  <c r="I119" i="5"/>
  <c r="I123" i="5"/>
  <c r="I126" i="5" s="1"/>
  <c r="J71" i="1"/>
  <c r="K71" i="1" s="1"/>
  <c r="L71" i="1" s="1"/>
  <c r="L58" i="4"/>
  <c r="L57" i="4"/>
  <c r="L56" i="4"/>
  <c r="L55" i="4"/>
  <c r="L54" i="4"/>
  <c r="L53" i="4"/>
  <c r="L52" i="4"/>
  <c r="L51" i="4"/>
  <c r="L48" i="4"/>
  <c r="L47" i="4"/>
  <c r="L46" i="4"/>
  <c r="L45" i="4"/>
  <c r="L37" i="5" l="1"/>
  <c r="L36" i="5" s="1"/>
  <c r="L42" i="5" s="1"/>
  <c r="J294" i="8" s="1"/>
  <c r="K13" i="5"/>
  <c r="K14" i="5"/>
  <c r="K12" i="5"/>
  <c r="K11" i="5"/>
  <c r="K16" i="5"/>
  <c r="K10" i="5" s="1"/>
  <c r="K361" i="4"/>
  <c r="L361" i="4" s="1"/>
  <c r="I361" i="4"/>
  <c r="M361" i="4" l="1"/>
  <c r="H361" i="4"/>
  <c r="G361" i="4" l="1"/>
  <c r="F361" i="4" l="1"/>
  <c r="E361" i="4" l="1"/>
  <c r="L307" i="4" l="1"/>
  <c r="K307" i="4"/>
  <c r="J307" i="4"/>
  <c r="I307" i="4"/>
  <c r="H307" i="4"/>
  <c r="G307" i="4"/>
  <c r="F307" i="4"/>
  <c r="E307" i="4"/>
  <c r="D307" i="4"/>
  <c r="C15" i="6"/>
  <c r="G412" i="1"/>
  <c r="C8" i="6" s="1"/>
  <c r="D282" i="4"/>
  <c r="D284" i="4" s="1"/>
  <c r="C283" i="4"/>
  <c r="C282" i="4"/>
  <c r="M277" i="4"/>
  <c r="M272" i="4"/>
  <c r="M288" i="4"/>
  <c r="H294" i="4"/>
  <c r="E294" i="4"/>
  <c r="L294" i="4"/>
  <c r="K294" i="4"/>
  <c r="J294" i="4"/>
  <c r="I294" i="4"/>
  <c r="C294" i="4"/>
  <c r="C293" i="4"/>
  <c r="G294" i="4"/>
  <c r="F294" i="4"/>
  <c r="D294" i="4"/>
  <c r="C299" i="4"/>
  <c r="C307" i="4" s="1"/>
  <c r="C298" i="4"/>
  <c r="C306" i="4" s="1"/>
  <c r="E269" i="4"/>
  <c r="F269" i="4" s="1"/>
  <c r="G269" i="4" s="1"/>
  <c r="H269" i="4" s="1"/>
  <c r="I269" i="4" s="1"/>
  <c r="J269" i="4" s="1"/>
  <c r="K269" i="4" s="1"/>
  <c r="L269" i="4" s="1"/>
  <c r="E343" i="4" l="1"/>
  <c r="D338" i="4"/>
  <c r="D337" i="4"/>
  <c r="E331" i="4"/>
  <c r="D331" i="4"/>
  <c r="M326" i="4"/>
  <c r="L326" i="4"/>
  <c r="K326" i="4"/>
  <c r="J326" i="4"/>
  <c r="I326" i="4"/>
  <c r="H326" i="4"/>
  <c r="G326" i="4"/>
  <c r="F326" i="4"/>
  <c r="E326" i="4"/>
  <c r="M325" i="4"/>
  <c r="L325" i="4"/>
  <c r="K325" i="4"/>
  <c r="J325" i="4"/>
  <c r="I325" i="4"/>
  <c r="H325" i="4"/>
  <c r="G325" i="4"/>
  <c r="F325" i="4"/>
  <c r="E325" i="4"/>
  <c r="M324" i="4"/>
  <c r="L324" i="4"/>
  <c r="K324" i="4"/>
  <c r="J324" i="4"/>
  <c r="I324" i="4"/>
  <c r="H324" i="4"/>
  <c r="G324" i="4"/>
  <c r="F324" i="4"/>
  <c r="E324" i="4"/>
  <c r="M316" i="4"/>
  <c r="L316" i="4"/>
  <c r="K316" i="4"/>
  <c r="J316" i="4"/>
  <c r="F321" i="4"/>
  <c r="E321" i="4"/>
  <c r="D321" i="4"/>
  <c r="I316" i="4"/>
  <c r="H316" i="4"/>
  <c r="G316" i="4"/>
  <c r="E314" i="4"/>
  <c r="F314" i="4" s="1"/>
  <c r="G314" i="4" s="1"/>
  <c r="H314" i="4" s="1"/>
  <c r="I314" i="4" s="1"/>
  <c r="J314" i="4" s="1"/>
  <c r="K314" i="4" s="1"/>
  <c r="L314" i="4" s="1"/>
  <c r="M314" i="4" s="1"/>
  <c r="C255" i="4" l="1"/>
  <c r="C254" i="4"/>
  <c r="C260" i="4" s="1"/>
  <c r="C253" i="4"/>
  <c r="C252" i="4"/>
  <c r="C251" i="4"/>
  <c r="C263" i="4" l="1"/>
  <c r="C257" i="4"/>
  <c r="C265" i="4"/>
  <c r="C259" i="4"/>
  <c r="C264" i="4"/>
  <c r="C258" i="4"/>
  <c r="C266" i="4"/>
  <c r="C267" i="4"/>
  <c r="C261" i="4"/>
  <c r="N65" i="5" l="1"/>
  <c r="L14" i="6" l="1"/>
  <c r="K14" i="6"/>
  <c r="M2" i="6"/>
  <c r="L2" i="6"/>
  <c r="K2" i="6"/>
  <c r="J2" i="6"/>
  <c r="I2" i="6"/>
  <c r="K58" i="4"/>
  <c r="K57" i="4"/>
  <c r="K56" i="4"/>
  <c r="K55" i="4"/>
  <c r="K54" i="4"/>
  <c r="K53" i="4"/>
  <c r="K52" i="4"/>
  <c r="K51" i="4"/>
  <c r="K49" i="4"/>
  <c r="K48" i="4"/>
  <c r="K47" i="4"/>
  <c r="K46" i="4"/>
  <c r="K45" i="4"/>
  <c r="I405" i="1" l="1"/>
  <c r="B149" i="8" s="1"/>
  <c r="F366" i="4"/>
  <c r="D4" i="6"/>
  <c r="E366" i="4"/>
  <c r="J405" i="1"/>
  <c r="G321" i="4"/>
  <c r="H261" i="1"/>
  <c r="H260" i="1"/>
  <c r="H259" i="1"/>
  <c r="H258" i="1"/>
  <c r="P24" i="1"/>
  <c r="O24" i="1"/>
  <c r="N24" i="1"/>
  <c r="M24" i="1"/>
  <c r="L24" i="1"/>
  <c r="K24" i="1"/>
  <c r="J24" i="1"/>
  <c r="L94" i="4"/>
  <c r="F4" i="6" l="1"/>
  <c r="B164" i="8"/>
  <c r="C149" i="8"/>
  <c r="B150" i="8"/>
  <c r="E4" i="6"/>
  <c r="G366" i="4"/>
  <c r="H366" i="4" s="1"/>
  <c r="I366" i="4" s="1"/>
  <c r="J366" i="4" s="1"/>
  <c r="K366" i="4" s="1"/>
  <c r="L366" i="4" s="1"/>
  <c r="M366" i="4" s="1"/>
  <c r="M14" i="6"/>
  <c r="C4" i="6"/>
  <c r="K405" i="1"/>
  <c r="H23" i="1"/>
  <c r="Z32" i="2"/>
  <c r="Z39" i="2" s="1"/>
  <c r="Z31" i="2"/>
  <c r="G44" i="1"/>
  <c r="G43" i="1"/>
  <c r="G42" i="1"/>
  <c r="G41" i="1"/>
  <c r="G40" i="1"/>
  <c r="G39" i="1"/>
  <c r="G38" i="1"/>
  <c r="G37" i="1"/>
  <c r="G36" i="1"/>
  <c r="G35" i="1"/>
  <c r="G34" i="1"/>
  <c r="G33" i="1"/>
  <c r="G32" i="1"/>
  <c r="G31" i="1"/>
  <c r="K68" i="1"/>
  <c r="L68" i="1" s="1"/>
  <c r="M68" i="1" s="1"/>
  <c r="N68" i="1" s="1"/>
  <c r="O68" i="1" s="1"/>
  <c r="P68" i="1" s="1"/>
  <c r="K67" i="1"/>
  <c r="L67" i="1" s="1"/>
  <c r="M67" i="1" s="1"/>
  <c r="N67" i="1" s="1"/>
  <c r="O67" i="1" s="1"/>
  <c r="P67" i="1" s="1"/>
  <c r="K64" i="1"/>
  <c r="L64" i="1" s="1"/>
  <c r="M64" i="1" s="1"/>
  <c r="N64" i="1" s="1"/>
  <c r="O64" i="1" s="1"/>
  <c r="P64" i="1" s="1"/>
  <c r="K63" i="1"/>
  <c r="L63" i="1" s="1"/>
  <c r="M63" i="1" s="1"/>
  <c r="N63" i="1" s="1"/>
  <c r="O63" i="1" s="1"/>
  <c r="P63" i="1" s="1"/>
  <c r="J61" i="1"/>
  <c r="K61" i="1" s="1"/>
  <c r="L61" i="1" s="1"/>
  <c r="M61" i="1" s="1"/>
  <c r="N61" i="1" s="1"/>
  <c r="O61" i="1" s="1"/>
  <c r="P61" i="1" s="1"/>
  <c r="K60" i="1"/>
  <c r="L60" i="1" s="1"/>
  <c r="M60" i="1" s="1"/>
  <c r="N60" i="1" s="1"/>
  <c r="O60" i="1" s="1"/>
  <c r="P60" i="1" s="1"/>
  <c r="J59" i="1"/>
  <c r="K59" i="1" s="1"/>
  <c r="L59" i="1" s="1"/>
  <c r="M59" i="1" s="1"/>
  <c r="N59" i="1" s="1"/>
  <c r="O59" i="1" s="1"/>
  <c r="P59" i="1" s="1"/>
  <c r="K58" i="1"/>
  <c r="L58" i="1" s="1"/>
  <c r="M58" i="1" s="1"/>
  <c r="N58" i="1" s="1"/>
  <c r="O58" i="1" s="1"/>
  <c r="P58" i="1" s="1"/>
  <c r="K56" i="1"/>
  <c r="L56" i="1" s="1"/>
  <c r="M56" i="1" s="1"/>
  <c r="N56" i="1" s="1"/>
  <c r="O56" i="1" s="1"/>
  <c r="P56" i="1" s="1"/>
  <c r="K55" i="1"/>
  <c r="L55" i="1" s="1"/>
  <c r="M55" i="1" s="1"/>
  <c r="N55" i="1" s="1"/>
  <c r="O55" i="1" s="1"/>
  <c r="P55" i="1" s="1"/>
  <c r="A40" i="3"/>
  <c r="A39" i="3"/>
  <c r="A38" i="3"/>
  <c r="A37" i="3"/>
  <c r="A36" i="3"/>
  <c r="A35" i="3"/>
  <c r="A34" i="3"/>
  <c r="A33" i="3"/>
  <c r="A32" i="3"/>
  <c r="B497" i="1"/>
  <c r="B483" i="1"/>
  <c r="E148" i="4"/>
  <c r="D148" i="4"/>
  <c r="F147" i="4"/>
  <c r="E116" i="4" s="1"/>
  <c r="F146" i="4"/>
  <c r="E112" i="4" s="1"/>
  <c r="F145" i="4"/>
  <c r="E115" i="4" s="1"/>
  <c r="F144" i="4"/>
  <c r="E129" i="4" s="1"/>
  <c r="F143" i="4"/>
  <c r="E122" i="4" s="1"/>
  <c r="F142" i="4"/>
  <c r="E117" i="4" s="1"/>
  <c r="F141" i="4"/>
  <c r="E125" i="4" s="1"/>
  <c r="F140" i="4"/>
  <c r="E109" i="4" s="1"/>
  <c r="F139" i="4"/>
  <c r="E114" i="4" s="1"/>
  <c r="F138" i="4"/>
  <c r="E127" i="4" s="1"/>
  <c r="F137" i="4"/>
  <c r="E126" i="4" s="1"/>
  <c r="E134" i="4"/>
  <c r="E133" i="4"/>
  <c r="E132" i="4"/>
  <c r="E131" i="4"/>
  <c r="E130" i="4"/>
  <c r="E128" i="4"/>
  <c r="E124" i="4"/>
  <c r="E121" i="4"/>
  <c r="E120" i="4"/>
  <c r="E118" i="4"/>
  <c r="E113" i="4"/>
  <c r="E111" i="4"/>
  <c r="E110" i="4"/>
  <c r="E108" i="4"/>
  <c r="E107" i="4"/>
  <c r="E105" i="4"/>
  <c r="E104" i="4"/>
  <c r="E103" i="4"/>
  <c r="H54" i="1"/>
  <c r="G54" i="1"/>
  <c r="J109" i="1"/>
  <c r="K109" i="1" s="1"/>
  <c r="L109" i="1" s="1"/>
  <c r="M109" i="1" s="1"/>
  <c r="N109" i="1" s="1"/>
  <c r="O109" i="1" s="1"/>
  <c r="P109" i="1" s="1"/>
  <c r="P54" i="1" s="1"/>
  <c r="C150" i="8" l="1"/>
  <c r="D149" i="8"/>
  <c r="C164" i="8"/>
  <c r="B165" i="8"/>
  <c r="Z34" i="2"/>
  <c r="Z36" i="2" s="1"/>
  <c r="Z40" i="2"/>
  <c r="H321" i="4"/>
  <c r="F316" i="4"/>
  <c r="L405" i="1"/>
  <c r="K312" i="1"/>
  <c r="F148" i="4"/>
  <c r="E123" i="4" s="1"/>
  <c r="I24" i="1"/>
  <c r="H37" i="1"/>
  <c r="I65" i="1"/>
  <c r="H32" i="1"/>
  <c r="N54" i="1"/>
  <c r="O54" i="1"/>
  <c r="K54" i="1"/>
  <c r="L54" i="1"/>
  <c r="I54" i="1"/>
  <c r="M54" i="1"/>
  <c r="J54" i="1"/>
  <c r="E197" i="4"/>
  <c r="F197" i="4"/>
  <c r="K94" i="4" s="1"/>
  <c r="M94" i="4" s="1"/>
  <c r="D196" i="4"/>
  <c r="D195" i="4"/>
  <c r="D194" i="4"/>
  <c r="D193" i="4"/>
  <c r="D192" i="4"/>
  <c r="D191" i="4"/>
  <c r="D190" i="4"/>
  <c r="D189" i="4"/>
  <c r="D188" i="4"/>
  <c r="D187" i="4"/>
  <c r="D186" i="4"/>
  <c r="D185" i="4"/>
  <c r="D184" i="4"/>
  <c r="N148" i="5"/>
  <c r="Q148" i="5" s="1"/>
  <c r="Q157" i="5" s="1"/>
  <c r="R142" i="5"/>
  <c r="D142" i="5"/>
  <c r="D141" i="5"/>
  <c r="D140" i="5"/>
  <c r="C140" i="5" s="1"/>
  <c r="D139" i="5"/>
  <c r="C139" i="5" s="1"/>
  <c r="D136" i="5"/>
  <c r="C136" i="5" s="1"/>
  <c r="K142" i="5"/>
  <c r="K141" i="5"/>
  <c r="K157" i="5"/>
  <c r="K113" i="5"/>
  <c r="K114" i="5"/>
  <c r="J157" i="5"/>
  <c r="D118" i="5"/>
  <c r="C118" i="5" s="1"/>
  <c r="D114" i="5"/>
  <c r="C114" i="5" s="1"/>
  <c r="D113" i="5"/>
  <c r="C113" i="5" s="1"/>
  <c r="D108" i="5"/>
  <c r="C108" i="5" s="1"/>
  <c r="D96" i="5"/>
  <c r="D88" i="5"/>
  <c r="C88" i="5" s="1"/>
  <c r="D85" i="5"/>
  <c r="C85" i="5" s="1"/>
  <c r="D82" i="5"/>
  <c r="C82" i="5" s="1"/>
  <c r="D64" i="5"/>
  <c r="C64" i="5" s="1"/>
  <c r="D61" i="5"/>
  <c r="C61" i="5" s="1"/>
  <c r="N96" i="5"/>
  <c r="N144" i="5" s="1"/>
  <c r="B89" i="5"/>
  <c r="B86" i="5"/>
  <c r="B83" i="5"/>
  <c r="G157" i="5"/>
  <c r="D157" i="5"/>
  <c r="C157" i="5"/>
  <c r="B157" i="5"/>
  <c r="G65" i="5"/>
  <c r="N62" i="5"/>
  <c r="G62" i="5"/>
  <c r="N57" i="5"/>
  <c r="G57" i="5"/>
  <c r="B57" i="5"/>
  <c r="B151" i="5" s="1"/>
  <c r="K88" i="5"/>
  <c r="L293" i="1"/>
  <c r="M293" i="1" s="1"/>
  <c r="N293" i="1" s="1"/>
  <c r="O293" i="1" s="1"/>
  <c r="K57" i="5" l="1"/>
  <c r="D164" i="8"/>
  <c r="C165" i="8"/>
  <c r="E149" i="8"/>
  <c r="D150" i="8"/>
  <c r="N157" i="5"/>
  <c r="N151" i="5"/>
  <c r="B65" i="3"/>
  <c r="P293" i="1"/>
  <c r="P292" i="1" s="1"/>
  <c r="B93" i="5"/>
  <c r="N94" i="5"/>
  <c r="R148" i="5"/>
  <c r="R157" i="5" s="1"/>
  <c r="B100" i="5"/>
  <c r="N116" i="5"/>
  <c r="N100" i="5"/>
  <c r="B106" i="5"/>
  <c r="B116" i="5" s="1"/>
  <c r="M71" i="1"/>
  <c r="I321" i="4"/>
  <c r="M405" i="1"/>
  <c r="L312" i="1"/>
  <c r="K57" i="1"/>
  <c r="J65" i="1"/>
  <c r="K66" i="1"/>
  <c r="K62" i="1"/>
  <c r="D197" i="4"/>
  <c r="D7" i="4" s="1"/>
  <c r="D242" i="4" s="1"/>
  <c r="D243" i="4" s="1"/>
  <c r="G151" i="5"/>
  <c r="C83" i="5"/>
  <c r="C86" i="5"/>
  <c r="D86" i="5"/>
  <c r="D83" i="5"/>
  <c r="G58" i="5"/>
  <c r="N58" i="5"/>
  <c r="I292" i="1"/>
  <c r="J292" i="1"/>
  <c r="K292" i="1"/>
  <c r="M292" i="1"/>
  <c r="N292" i="1"/>
  <c r="L292" i="1"/>
  <c r="O292" i="1"/>
  <c r="F149" i="8" l="1"/>
  <c r="F150" i="8" s="1"/>
  <c r="E150" i="8"/>
  <c r="D165" i="8"/>
  <c r="E164" i="8"/>
  <c r="N123" i="5"/>
  <c r="N126" i="5" s="1"/>
  <c r="N119" i="5"/>
  <c r="D65" i="3"/>
  <c r="B123" i="5"/>
  <c r="B126" i="5" s="1"/>
  <c r="B119" i="5"/>
  <c r="B94" i="5"/>
  <c r="B96" i="5"/>
  <c r="B144" i="5" s="1"/>
  <c r="N71" i="1"/>
  <c r="J321" i="4"/>
  <c r="E243" i="4"/>
  <c r="D245" i="4"/>
  <c r="D251" i="4" s="1"/>
  <c r="D257" i="4" s="1"/>
  <c r="D248" i="4"/>
  <c r="D254" i="4" s="1"/>
  <c r="D260" i="4" s="1"/>
  <c r="D247" i="4"/>
  <c r="D253" i="4" s="1"/>
  <c r="D259" i="4" s="1"/>
  <c r="D249" i="4"/>
  <c r="D255" i="4" s="1"/>
  <c r="D261" i="4" s="1"/>
  <c r="D246" i="4"/>
  <c r="D252" i="4" s="1"/>
  <c r="D258" i="4" s="1"/>
  <c r="N405" i="1"/>
  <c r="M312" i="1"/>
  <c r="L62" i="1"/>
  <c r="L66" i="1"/>
  <c r="K65" i="1"/>
  <c r="L57" i="1"/>
  <c r="F164" i="8" l="1"/>
  <c r="F165" i="8" s="1"/>
  <c r="E165" i="8"/>
  <c r="O71" i="1"/>
  <c r="K321" i="4"/>
  <c r="F243" i="4"/>
  <c r="E248" i="4"/>
  <c r="E254" i="4" s="1"/>
  <c r="E260" i="4" s="1"/>
  <c r="E247" i="4"/>
  <c r="E253" i="4" s="1"/>
  <c r="E259" i="4" s="1"/>
  <c r="E246" i="4"/>
  <c r="E252" i="4" s="1"/>
  <c r="E258" i="4" s="1"/>
  <c r="E249" i="4"/>
  <c r="E255" i="4" s="1"/>
  <c r="E261" i="4" s="1"/>
  <c r="E245" i="4"/>
  <c r="E251" i="4" s="1"/>
  <c r="E257" i="4" s="1"/>
  <c r="O405" i="1"/>
  <c r="N312" i="1"/>
  <c r="M66" i="1"/>
  <c r="M62" i="1"/>
  <c r="M57" i="1"/>
  <c r="L65" i="1"/>
  <c r="P399" i="1"/>
  <c r="O399" i="1"/>
  <c r="N399" i="1"/>
  <c r="M399" i="1"/>
  <c r="L399" i="1"/>
  <c r="K399" i="1"/>
  <c r="J399" i="1"/>
  <c r="I399" i="1"/>
  <c r="H399" i="1"/>
  <c r="G399" i="1"/>
  <c r="G395" i="1"/>
  <c r="G397" i="1"/>
  <c r="P395" i="1"/>
  <c r="O395" i="1"/>
  <c r="N395" i="1"/>
  <c r="M395" i="1"/>
  <c r="L395" i="1"/>
  <c r="K395" i="1"/>
  <c r="J395" i="1"/>
  <c r="I395" i="1"/>
  <c r="H395" i="1"/>
  <c r="G393" i="1"/>
  <c r="P71" i="1" l="1"/>
  <c r="M321" i="4" s="1"/>
  <c r="L321" i="4"/>
  <c r="G243" i="4"/>
  <c r="F248" i="4"/>
  <c r="F254" i="4" s="1"/>
  <c r="F260" i="4" s="1"/>
  <c r="F246" i="4"/>
  <c r="F252" i="4" s="1"/>
  <c r="F258" i="4" s="1"/>
  <c r="F249" i="4"/>
  <c r="F255" i="4" s="1"/>
  <c r="F261" i="4" s="1"/>
  <c r="F245" i="4"/>
  <c r="F251" i="4" s="1"/>
  <c r="F257" i="4" s="1"/>
  <c r="F247" i="4"/>
  <c r="F253" i="4" s="1"/>
  <c r="F259" i="4" s="1"/>
  <c r="P405" i="1"/>
  <c r="O312" i="1"/>
  <c r="N62" i="1"/>
  <c r="N66" i="1"/>
  <c r="M65" i="1"/>
  <c r="N57" i="1"/>
  <c r="G301" i="1"/>
  <c r="H243" i="4" l="1"/>
  <c r="G247" i="4"/>
  <c r="G253" i="4" s="1"/>
  <c r="G259" i="4" s="1"/>
  <c r="G246" i="4"/>
  <c r="G252" i="4" s="1"/>
  <c r="G258" i="4" s="1"/>
  <c r="G249" i="4"/>
  <c r="G255" i="4" s="1"/>
  <c r="G261" i="4" s="1"/>
  <c r="G245" i="4"/>
  <c r="G251" i="4" s="1"/>
  <c r="G257" i="4" s="1"/>
  <c r="G248" i="4"/>
  <c r="G254" i="4" s="1"/>
  <c r="G260" i="4" s="1"/>
  <c r="P312" i="1"/>
  <c r="O66" i="1"/>
  <c r="O62" i="1"/>
  <c r="O57" i="1"/>
  <c r="N65" i="1"/>
  <c r="K323" i="1"/>
  <c r="L323" i="1" s="1"/>
  <c r="M323" i="1" s="1"/>
  <c r="N323" i="1" s="1"/>
  <c r="O323" i="1" s="1"/>
  <c r="P323" i="1" s="1"/>
  <c r="R114" i="5"/>
  <c r="Q114" i="5" s="1"/>
  <c r="P114" i="5" s="1"/>
  <c r="I243" i="4" l="1"/>
  <c r="H247" i="4"/>
  <c r="H253" i="4" s="1"/>
  <c r="H259" i="4" s="1"/>
  <c r="H249" i="4"/>
  <c r="H255" i="4" s="1"/>
  <c r="H261" i="4" s="1"/>
  <c r="H245" i="4"/>
  <c r="H251" i="4" s="1"/>
  <c r="H257" i="4" s="1"/>
  <c r="H248" i="4"/>
  <c r="H254" i="4" s="1"/>
  <c r="H260" i="4" s="1"/>
  <c r="H246" i="4"/>
  <c r="H252" i="4" s="1"/>
  <c r="H258" i="4" s="1"/>
  <c r="O65" i="1"/>
  <c r="P57" i="1"/>
  <c r="P62" i="1"/>
  <c r="P66" i="1"/>
  <c r="J243" i="4" l="1"/>
  <c r="I249" i="4"/>
  <c r="I255" i="4" s="1"/>
  <c r="I261" i="4" s="1"/>
  <c r="I245" i="4"/>
  <c r="I251" i="4" s="1"/>
  <c r="I257" i="4" s="1"/>
  <c r="I248" i="4"/>
  <c r="I254" i="4" s="1"/>
  <c r="I260" i="4" s="1"/>
  <c r="I246" i="4"/>
  <c r="I252" i="4" s="1"/>
  <c r="I258" i="4" s="1"/>
  <c r="I247" i="4"/>
  <c r="I253" i="4" s="1"/>
  <c r="I259" i="4" s="1"/>
  <c r="P65" i="1"/>
  <c r="K243" i="4" l="1"/>
  <c r="J245" i="4"/>
  <c r="J251" i="4" s="1"/>
  <c r="J257" i="4" s="1"/>
  <c r="J248" i="4"/>
  <c r="J254" i="4" s="1"/>
  <c r="J260" i="4" s="1"/>
  <c r="J247" i="4"/>
  <c r="J253" i="4" s="1"/>
  <c r="J259" i="4" s="1"/>
  <c r="J246" i="4"/>
  <c r="J252" i="4" s="1"/>
  <c r="J258" i="4" s="1"/>
  <c r="J249" i="4"/>
  <c r="J255" i="4" s="1"/>
  <c r="J261" i="4" s="1"/>
  <c r="G289" i="1"/>
  <c r="K289" i="1" s="1"/>
  <c r="L289" i="1" s="1"/>
  <c r="M289" i="1" s="1"/>
  <c r="N289" i="1" s="1"/>
  <c r="O289" i="1" s="1"/>
  <c r="P289" i="1" s="1"/>
  <c r="G286" i="1"/>
  <c r="K286" i="1" s="1"/>
  <c r="L286" i="1" s="1"/>
  <c r="M286" i="1" s="1"/>
  <c r="N286" i="1" s="1"/>
  <c r="O286" i="1" s="1"/>
  <c r="P286" i="1" s="1"/>
  <c r="H245" i="1"/>
  <c r="W267" i="1"/>
  <c r="V254" i="1"/>
  <c r="Y267" i="1"/>
  <c r="V253" i="1"/>
  <c r="W252" i="1"/>
  <c r="P224" i="1"/>
  <c r="O224" i="1"/>
  <c r="N224" i="1"/>
  <c r="M224" i="1"/>
  <c r="L224" i="1"/>
  <c r="K224" i="1"/>
  <c r="J224" i="1"/>
  <c r="I224" i="1"/>
  <c r="H224" i="1"/>
  <c r="P215" i="1"/>
  <c r="O215" i="1"/>
  <c r="N215" i="1"/>
  <c r="M215" i="1"/>
  <c r="L215" i="1"/>
  <c r="K215" i="1"/>
  <c r="J215" i="1"/>
  <c r="I215" i="1"/>
  <c r="H215" i="1"/>
  <c r="P198" i="1"/>
  <c r="O198" i="1"/>
  <c r="N198" i="1"/>
  <c r="M198" i="1"/>
  <c r="L198" i="1"/>
  <c r="K198" i="1"/>
  <c r="J198" i="1"/>
  <c r="I198" i="1"/>
  <c r="H198" i="1"/>
  <c r="H39" i="1"/>
  <c r="H42" i="1"/>
  <c r="H41" i="1"/>
  <c r="H40" i="1"/>
  <c r="H38" i="1"/>
  <c r="H36" i="1"/>
  <c r="H35" i="1"/>
  <c r="H34" i="1"/>
  <c r="H33" i="1"/>
  <c r="H31" i="1"/>
  <c r="H43" i="1"/>
  <c r="H180" i="1"/>
  <c r="G180" i="1"/>
  <c r="F180" i="1"/>
  <c r="E180" i="1"/>
  <c r="D180" i="1"/>
  <c r="C180" i="1"/>
  <c r="B180" i="1"/>
  <c r="H179" i="1"/>
  <c r="G179" i="1"/>
  <c r="F179" i="1"/>
  <c r="E179" i="1"/>
  <c r="D179" i="1"/>
  <c r="C179" i="1"/>
  <c r="B179" i="1"/>
  <c r="G247" i="1"/>
  <c r="D332" i="4" s="1"/>
  <c r="D333" i="4" s="1"/>
  <c r="H44" i="1"/>
  <c r="D98" i="4"/>
  <c r="D100" i="4" s="1"/>
  <c r="F100" i="4" s="1"/>
  <c r="D106" i="4" s="1"/>
  <c r="E106" i="4" s="1"/>
  <c r="J178" i="1" l="1"/>
  <c r="K178" i="1" s="1"/>
  <c r="L178" i="1" s="1"/>
  <c r="M178" i="1" s="1"/>
  <c r="N178" i="1" s="1"/>
  <c r="O178" i="1" s="1"/>
  <c r="P178" i="1" s="1"/>
  <c r="L243" i="4"/>
  <c r="K246" i="4"/>
  <c r="K252" i="4" s="1"/>
  <c r="K258" i="4" s="1"/>
  <c r="K249" i="4"/>
  <c r="K255" i="4" s="1"/>
  <c r="K261" i="4" s="1"/>
  <c r="K245" i="4"/>
  <c r="K251" i="4" s="1"/>
  <c r="K257" i="4" s="1"/>
  <c r="K248" i="4"/>
  <c r="K254" i="4" s="1"/>
  <c r="K260" i="4" s="1"/>
  <c r="K247" i="4"/>
  <c r="K253" i="4" s="1"/>
  <c r="K259" i="4" s="1"/>
  <c r="K321" i="1"/>
  <c r="L321" i="1" s="1"/>
  <c r="M321" i="1" s="1"/>
  <c r="N321" i="1" s="1"/>
  <c r="O321" i="1" s="1"/>
  <c r="P321" i="1" s="1"/>
  <c r="R113" i="5"/>
  <c r="Q113" i="5" s="1"/>
  <c r="P113" i="5" s="1"/>
  <c r="X253" i="1"/>
  <c r="Y253" i="1" s="1"/>
  <c r="X254" i="1"/>
  <c r="Y254" i="1" s="1"/>
  <c r="D93" i="4"/>
  <c r="F93" i="4" s="1"/>
  <c r="D119" i="4" s="1"/>
  <c r="E119" i="4" s="1"/>
  <c r="H289" i="1" l="1"/>
  <c r="H286" i="1"/>
  <c r="M243" i="4"/>
  <c r="L248" i="4"/>
  <c r="L254" i="4" s="1"/>
  <c r="L260" i="4" s="1"/>
  <c r="L249" i="4"/>
  <c r="L255" i="4" s="1"/>
  <c r="L261" i="4" s="1"/>
  <c r="L245" i="4"/>
  <c r="L251" i="4" s="1"/>
  <c r="L257" i="4" s="1"/>
  <c r="L247" i="4"/>
  <c r="L253" i="4" s="1"/>
  <c r="L259" i="4" s="1"/>
  <c r="L246" i="4"/>
  <c r="L252" i="4" s="1"/>
  <c r="L258" i="4" s="1"/>
  <c r="H267" i="1"/>
  <c r="K85" i="5"/>
  <c r="B461" i="1"/>
  <c r="E470" i="1" s="1"/>
  <c r="E475" i="1"/>
  <c r="G342" i="1"/>
  <c r="D130" i="5" s="1"/>
  <c r="C130" i="5" s="1"/>
  <c r="G341" i="1"/>
  <c r="D129" i="5" s="1"/>
  <c r="C129" i="5" s="1"/>
  <c r="G292" i="1"/>
  <c r="G293" i="1" s="1"/>
  <c r="G295" i="1"/>
  <c r="D89" i="5" s="1"/>
  <c r="C89" i="5" s="1"/>
  <c r="G253" i="1"/>
  <c r="C13" i="6" s="1"/>
  <c r="J62" i="5" l="1"/>
  <c r="AC61" i="5"/>
  <c r="K82" i="5"/>
  <c r="E337" i="4"/>
  <c r="M248" i="4"/>
  <c r="M254" i="4" s="1"/>
  <c r="M260" i="4" s="1"/>
  <c r="D266" i="4" s="1"/>
  <c r="M245" i="4"/>
  <c r="M251" i="4" s="1"/>
  <c r="M257" i="4" s="1"/>
  <c r="D263" i="4" s="1"/>
  <c r="M247" i="4"/>
  <c r="M253" i="4" s="1"/>
  <c r="M259" i="4" s="1"/>
  <c r="D265" i="4" s="1"/>
  <c r="M246" i="4"/>
  <c r="M252" i="4" s="1"/>
  <c r="M258" i="4" s="1"/>
  <c r="D264" i="4" s="1"/>
  <c r="M249" i="4"/>
  <c r="M255" i="4" s="1"/>
  <c r="M261" i="4" s="1"/>
  <c r="D267" i="4" s="1"/>
  <c r="G297" i="1"/>
  <c r="D57" i="5"/>
  <c r="K86" i="5"/>
  <c r="V252" i="1"/>
  <c r="X252" i="1" s="1"/>
  <c r="Y252" i="1" s="1"/>
  <c r="G271" i="1"/>
  <c r="G340" i="1"/>
  <c r="G314" i="1" s="1"/>
  <c r="G313" i="1" s="1"/>
  <c r="C470" i="1"/>
  <c r="D470" i="1"/>
  <c r="B470" i="1"/>
  <c r="B475" i="1"/>
  <c r="C475" i="1"/>
  <c r="D475" i="1"/>
  <c r="G385" i="1"/>
  <c r="G30" i="1"/>
  <c r="F174" i="4"/>
  <c r="H66" i="3" l="1"/>
  <c r="I66" i="3" s="1"/>
  <c r="K83" i="5"/>
  <c r="G407" i="1"/>
  <c r="C7" i="6" s="1"/>
  <c r="G303" i="1"/>
  <c r="C14" i="6"/>
  <c r="G359" i="1"/>
  <c r="G312" i="1"/>
  <c r="D128" i="5"/>
  <c r="C128" i="5" s="1"/>
  <c r="C57" i="5"/>
  <c r="D151" i="5"/>
  <c r="G298" i="1"/>
  <c r="D93" i="5"/>
  <c r="K328" i="1"/>
  <c r="F172" i="4"/>
  <c r="F176" i="4"/>
  <c r="E169" i="4"/>
  <c r="F171" i="4"/>
  <c r="E173" i="4"/>
  <c r="F173" i="4" s="1"/>
  <c r="E168" i="4"/>
  <c r="G168" i="4" s="1"/>
  <c r="E170" i="4"/>
  <c r="G170" i="4" s="1"/>
  <c r="F163" i="4"/>
  <c r="F167" i="4"/>
  <c r="F162" i="4"/>
  <c r="E164" i="4"/>
  <c r="K161" i="4"/>
  <c r="J161" i="4"/>
  <c r="I161" i="4"/>
  <c r="H161" i="4"/>
  <c r="G165" i="4"/>
  <c r="C16" i="6" l="1"/>
  <c r="G429" i="1"/>
  <c r="B51" i="3" s="1"/>
  <c r="J377" i="1"/>
  <c r="G306" i="1"/>
  <c r="D339" i="4"/>
  <c r="D340" i="4" s="1"/>
  <c r="D99" i="5"/>
  <c r="C99" i="5" s="1"/>
  <c r="C100" i="5" s="1"/>
  <c r="G344" i="1"/>
  <c r="D144" i="5"/>
  <c r="C144" i="5" s="1"/>
  <c r="G305" i="1"/>
  <c r="C106" i="5"/>
  <c r="C151" i="5"/>
  <c r="C93" i="5"/>
  <c r="D94" i="5"/>
  <c r="L328" i="1"/>
  <c r="F85" i="4"/>
  <c r="F84" i="4"/>
  <c r="F83" i="4"/>
  <c r="F82" i="4"/>
  <c r="F81" i="4"/>
  <c r="F80" i="4"/>
  <c r="F79" i="4"/>
  <c r="G325" i="1" l="1"/>
  <c r="D116" i="5" s="1"/>
  <c r="C116" i="5" s="1"/>
  <c r="C119" i="5" s="1"/>
  <c r="D106" i="5"/>
  <c r="D100" i="5"/>
  <c r="K377" i="1"/>
  <c r="C94" i="5"/>
  <c r="C96" i="5"/>
  <c r="M328" i="1"/>
  <c r="N90" i="4"/>
  <c r="N95" i="4"/>
  <c r="N92" i="4"/>
  <c r="N89" i="4"/>
  <c r="N93" i="4"/>
  <c r="N101" i="4"/>
  <c r="N96" i="4"/>
  <c r="N97" i="4"/>
  <c r="N100" i="4"/>
  <c r="N98" i="4"/>
  <c r="N91" i="4"/>
  <c r="N99" i="4"/>
  <c r="G334" i="1" l="1"/>
  <c r="D119" i="5"/>
  <c r="G328" i="1"/>
  <c r="L377" i="1"/>
  <c r="G336" i="1"/>
  <c r="D125" i="5" s="1"/>
  <c r="C125" i="5" s="1"/>
  <c r="D123" i="5"/>
  <c r="N328" i="1"/>
  <c r="P158" i="1"/>
  <c r="O158" i="1"/>
  <c r="N158" i="1"/>
  <c r="M158" i="1"/>
  <c r="L158" i="1"/>
  <c r="K158" i="1"/>
  <c r="J158" i="1"/>
  <c r="I158" i="1"/>
  <c r="M377" i="1" l="1"/>
  <c r="G337" i="1"/>
  <c r="C123" i="5"/>
  <c r="D126" i="5"/>
  <c r="C126" i="5" s="1"/>
  <c r="O328" i="1"/>
  <c r="D9" i="3"/>
  <c r="D225" i="4" s="1"/>
  <c r="F225" i="4" s="1"/>
  <c r="E226" i="4" s="1"/>
  <c r="E227" i="4" s="1"/>
  <c r="C9" i="3"/>
  <c r="D224" i="4" s="1"/>
  <c r="F224" i="4" s="1"/>
  <c r="B9" i="3"/>
  <c r="D223" i="4" s="1"/>
  <c r="F223" i="4" s="1"/>
  <c r="N377" i="1" l="1"/>
  <c r="J177" i="1"/>
  <c r="K177" i="1" s="1"/>
  <c r="L177" i="1" s="1"/>
  <c r="M177" i="1" s="1"/>
  <c r="N177" i="1" s="1"/>
  <c r="O177" i="1" s="1"/>
  <c r="P177" i="1" s="1"/>
  <c r="G338" i="1"/>
  <c r="P328" i="1"/>
  <c r="H114" i="1"/>
  <c r="I114" i="1" s="1"/>
  <c r="J114" i="1" s="1"/>
  <c r="K114" i="1" s="1"/>
  <c r="L114" i="1" s="1"/>
  <c r="M114" i="1" s="1"/>
  <c r="N114" i="1" s="1"/>
  <c r="O114" i="1" s="1"/>
  <c r="P114" i="1" s="1"/>
  <c r="H113" i="1"/>
  <c r="I113" i="1" s="1"/>
  <c r="J113" i="1" s="1"/>
  <c r="K113" i="1" s="1"/>
  <c r="L113" i="1" s="1"/>
  <c r="M113" i="1" s="1"/>
  <c r="N113" i="1" s="1"/>
  <c r="O113" i="1" s="1"/>
  <c r="P113" i="1" s="1"/>
  <c r="H112" i="1"/>
  <c r="I112" i="1" s="1"/>
  <c r="J112" i="1" s="1"/>
  <c r="K112" i="1" s="1"/>
  <c r="L112" i="1" s="1"/>
  <c r="M112" i="1" s="1"/>
  <c r="N112" i="1" s="1"/>
  <c r="O112" i="1" s="1"/>
  <c r="P112" i="1" s="1"/>
  <c r="H111" i="1"/>
  <c r="I111" i="1" s="1"/>
  <c r="J111" i="1" s="1"/>
  <c r="K111" i="1" s="1"/>
  <c r="L111" i="1" s="1"/>
  <c r="M111" i="1" s="1"/>
  <c r="N111" i="1" s="1"/>
  <c r="O111" i="1" s="1"/>
  <c r="P111" i="1" s="1"/>
  <c r="H110" i="1"/>
  <c r="I110" i="1" s="1"/>
  <c r="J110" i="1" s="1"/>
  <c r="K110" i="1" s="1"/>
  <c r="L110" i="1" s="1"/>
  <c r="M110" i="1" s="1"/>
  <c r="N110" i="1" s="1"/>
  <c r="O110" i="1" s="1"/>
  <c r="P110" i="1" s="1"/>
  <c r="G83" i="1"/>
  <c r="G82" i="1" s="1"/>
  <c r="O377" i="1" l="1"/>
  <c r="P160" i="1"/>
  <c r="O155" i="1"/>
  <c r="O172" i="1" s="1"/>
  <c r="N155" i="1"/>
  <c r="N174" i="1" s="1"/>
  <c r="M155" i="1"/>
  <c r="M173" i="1" s="1"/>
  <c r="L155" i="1"/>
  <c r="L172" i="1" s="1"/>
  <c r="K155" i="1"/>
  <c r="K172" i="1" s="1"/>
  <c r="J155" i="1"/>
  <c r="J173" i="1" s="1"/>
  <c r="I155" i="1"/>
  <c r="I174" i="1" s="1"/>
  <c r="I163" i="1"/>
  <c r="J163" i="1" s="1"/>
  <c r="K163" i="1" s="1"/>
  <c r="L163" i="1" s="1"/>
  <c r="M163" i="1" s="1"/>
  <c r="N163" i="1" s="1"/>
  <c r="O163" i="1" s="1"/>
  <c r="I160" i="1"/>
  <c r="P163" i="1"/>
  <c r="P377" i="1" l="1"/>
  <c r="P154" i="1"/>
  <c r="J172" i="1"/>
  <c r="M172" i="1"/>
  <c r="N172" i="1"/>
  <c r="K173" i="1"/>
  <c r="N173" i="1"/>
  <c r="J174" i="1"/>
  <c r="O173" i="1"/>
  <c r="O174" i="1"/>
  <c r="I172" i="1"/>
  <c r="I173" i="1"/>
  <c r="K174" i="1"/>
  <c r="L174" i="1"/>
  <c r="L173" i="1"/>
  <c r="M174" i="1"/>
  <c r="P164" i="1"/>
  <c r="J160" i="1"/>
  <c r="K160" i="1" s="1"/>
  <c r="L160" i="1" s="1"/>
  <c r="M160" i="1" s="1"/>
  <c r="N160" i="1" s="1"/>
  <c r="O160" i="1" s="1"/>
  <c r="P161" i="1" s="1"/>
  <c r="O149" i="1"/>
  <c r="H149" i="1"/>
  <c r="O147" i="1"/>
  <c r="H115" i="1"/>
  <c r="I115" i="1" s="1"/>
  <c r="J115" i="1" s="1"/>
  <c r="K115" i="1" s="1"/>
  <c r="L115" i="1" s="1"/>
  <c r="M115" i="1" s="1"/>
  <c r="N115" i="1" s="1"/>
  <c r="O115" i="1" s="1"/>
  <c r="P115" i="1" s="1"/>
  <c r="O150" i="1" l="1"/>
  <c r="H154" i="1"/>
  <c r="I154" i="1" l="1"/>
  <c r="H168" i="1"/>
  <c r="H169" i="1"/>
  <c r="H167" i="1"/>
  <c r="J154" i="1" l="1"/>
  <c r="E83" i="1"/>
  <c r="E130" i="1"/>
  <c r="F83" i="1"/>
  <c r="K154" i="1" l="1"/>
  <c r="I370" i="1"/>
  <c r="J370" i="1" s="1"/>
  <c r="K370" i="1" s="1"/>
  <c r="L370" i="1" s="1"/>
  <c r="M370" i="1" s="1"/>
  <c r="N370" i="1" s="1"/>
  <c r="O370" i="1" s="1"/>
  <c r="P370" i="1" s="1"/>
  <c r="G372" i="1"/>
  <c r="J176" i="1" l="1"/>
  <c r="K176" i="1" s="1"/>
  <c r="L176" i="1" s="1"/>
  <c r="M176" i="1" s="1"/>
  <c r="N176" i="1" s="1"/>
  <c r="O176" i="1" s="1"/>
  <c r="P176" i="1" s="1"/>
  <c r="I179" i="1"/>
  <c r="I180" i="1"/>
  <c r="L154" i="1"/>
  <c r="J179" i="1" l="1"/>
  <c r="J180" i="1"/>
  <c r="M154" i="1"/>
  <c r="K179" i="1" l="1"/>
  <c r="K180" i="1"/>
  <c r="N154" i="1"/>
  <c r="J384" i="1"/>
  <c r="K384" i="1" s="1"/>
  <c r="L384" i="1" s="1"/>
  <c r="M384" i="1" s="1"/>
  <c r="N384" i="1" s="1"/>
  <c r="O384" i="1" s="1"/>
  <c r="P384" i="1" s="1"/>
  <c r="J378" i="1"/>
  <c r="G379" i="1"/>
  <c r="L179" i="1" l="1"/>
  <c r="L180" i="1"/>
  <c r="J382" i="1"/>
  <c r="O154" i="1"/>
  <c r="P155" i="1"/>
  <c r="G387" i="1"/>
  <c r="H379" i="1"/>
  <c r="K378" i="1"/>
  <c r="M179" i="1" l="1"/>
  <c r="M180" i="1"/>
  <c r="J376" i="1"/>
  <c r="J379" i="1" s="1"/>
  <c r="P172" i="1"/>
  <c r="P173" i="1"/>
  <c r="P174" i="1"/>
  <c r="I379" i="1"/>
  <c r="K382" i="1"/>
  <c r="L378" i="1"/>
  <c r="N179" i="1" l="1"/>
  <c r="N180" i="1"/>
  <c r="K376" i="1"/>
  <c r="L382" i="1"/>
  <c r="M378" i="1"/>
  <c r="O179" i="1" l="1"/>
  <c r="O180" i="1"/>
  <c r="L376" i="1"/>
  <c r="K379" i="1"/>
  <c r="M382" i="1"/>
  <c r="N378" i="1"/>
  <c r="P179" i="1" l="1"/>
  <c r="P180" i="1"/>
  <c r="M376" i="1"/>
  <c r="L379" i="1"/>
  <c r="N382" i="1"/>
  <c r="O378" i="1"/>
  <c r="N376" i="1" l="1"/>
  <c r="M379" i="1"/>
  <c r="O382" i="1"/>
  <c r="P378" i="1"/>
  <c r="O376" i="1" l="1"/>
  <c r="N379" i="1"/>
  <c r="P382" i="1"/>
  <c r="P376" i="1" l="1"/>
  <c r="O379" i="1"/>
  <c r="F343" i="4"/>
  <c r="J352" i="1" l="1"/>
  <c r="R141" i="5"/>
  <c r="P379" i="1"/>
  <c r="P351" i="1"/>
  <c r="O351" i="1"/>
  <c r="N351" i="1"/>
  <c r="M351" i="1"/>
  <c r="L351" i="1"/>
  <c r="K351" i="1"/>
  <c r="J351" i="1"/>
  <c r="R140" i="5"/>
  <c r="Q140" i="5" s="1"/>
  <c r="K352" i="1" l="1"/>
  <c r="K350" i="1" s="1"/>
  <c r="K346" i="1" s="1"/>
  <c r="H344" i="4" s="1"/>
  <c r="G343" i="4"/>
  <c r="J350" i="1"/>
  <c r="J346" i="1" s="1"/>
  <c r="G344" i="4" s="1"/>
  <c r="I350" i="1"/>
  <c r="F130" i="1"/>
  <c r="G126" i="1"/>
  <c r="G125" i="1"/>
  <c r="G124" i="1"/>
  <c r="G123" i="1"/>
  <c r="G122" i="1"/>
  <c r="G121" i="1"/>
  <c r="G120" i="1"/>
  <c r="G21" i="1"/>
  <c r="A128" i="1"/>
  <c r="T20" i="1" l="1"/>
  <c r="D315" i="4"/>
  <c r="L352" i="1"/>
  <c r="H343" i="4"/>
  <c r="F17" i="6"/>
  <c r="G47" i="1"/>
  <c r="G25" i="1"/>
  <c r="I346" i="1"/>
  <c r="I369" i="1" s="1"/>
  <c r="R139" i="5"/>
  <c r="Q139" i="5" s="1"/>
  <c r="G398" i="1"/>
  <c r="G394" i="1"/>
  <c r="G281" i="1"/>
  <c r="G248" i="1"/>
  <c r="T18" i="1"/>
  <c r="T10" i="1"/>
  <c r="T17" i="1"/>
  <c r="T9" i="1"/>
  <c r="T16" i="1"/>
  <c r="T8" i="1"/>
  <c r="T15" i="1"/>
  <c r="T7" i="1"/>
  <c r="T13" i="1"/>
  <c r="T14" i="1"/>
  <c r="T6" i="1"/>
  <c r="T5" i="1"/>
  <c r="T12" i="1"/>
  <c r="T11" i="1"/>
  <c r="T4" i="1"/>
  <c r="G127" i="1"/>
  <c r="G116" i="1" s="1"/>
  <c r="F344" i="4" l="1"/>
  <c r="D318" i="4"/>
  <c r="M352" i="1"/>
  <c r="I343" i="4"/>
  <c r="L350" i="1"/>
  <c r="L346" i="1" s="1"/>
  <c r="I344" i="4" s="1"/>
  <c r="E17" i="6"/>
  <c r="G274" i="1"/>
  <c r="D328" i="4" s="1"/>
  <c r="D329" i="4" s="1"/>
  <c r="G49" i="1"/>
  <c r="R136" i="5"/>
  <c r="Q136" i="5" s="1"/>
  <c r="I394" i="1"/>
  <c r="J394" i="1" s="1"/>
  <c r="K394" i="1" s="1"/>
  <c r="I398" i="1"/>
  <c r="C1" i="1"/>
  <c r="N352" i="1" l="1"/>
  <c r="J343" i="4"/>
  <c r="M350" i="1"/>
  <c r="M346" i="1" s="1"/>
  <c r="J344" i="4" s="1"/>
  <c r="J398" i="1"/>
  <c r="L394" i="1"/>
  <c r="D1" i="1"/>
  <c r="E1" i="1" s="1"/>
  <c r="B8" i="3" s="1"/>
  <c r="O352" i="1" l="1"/>
  <c r="K343" i="4"/>
  <c r="N350" i="1"/>
  <c r="N346" i="1" s="1"/>
  <c r="K344" i="4" s="1"/>
  <c r="K398" i="1"/>
  <c r="M394" i="1"/>
  <c r="H116" i="1"/>
  <c r="I116" i="1" s="1"/>
  <c r="J116" i="1" s="1"/>
  <c r="K116" i="1" s="1"/>
  <c r="L116" i="1" s="1"/>
  <c r="M116" i="1" s="1"/>
  <c r="N116" i="1" s="1"/>
  <c r="O116" i="1" s="1"/>
  <c r="P116" i="1" s="1"/>
  <c r="F1" i="1"/>
  <c r="C8" i="3" s="1"/>
  <c r="P352" i="1" l="1"/>
  <c r="L343" i="4"/>
  <c r="O350" i="1"/>
  <c r="O346" i="1" s="1"/>
  <c r="L344" i="4" s="1"/>
  <c r="L398" i="1"/>
  <c r="N394" i="1"/>
  <c r="G1" i="1"/>
  <c r="M343" i="4" l="1"/>
  <c r="P350" i="1"/>
  <c r="P346" i="1" s="1"/>
  <c r="M344" i="4" s="1"/>
  <c r="M398" i="1"/>
  <c r="O394" i="1"/>
  <c r="D8" i="3"/>
  <c r="T1" i="1"/>
  <c r="H1" i="1"/>
  <c r="N398" i="1" l="1"/>
  <c r="P394" i="1"/>
  <c r="E8" i="3"/>
  <c r="U1" i="1"/>
  <c r="I1" i="1"/>
  <c r="O398" i="1" l="1"/>
  <c r="F8" i="3"/>
  <c r="V1" i="1"/>
  <c r="J1" i="1"/>
  <c r="P398" i="1" l="1"/>
  <c r="G8" i="3"/>
  <c r="W1" i="1"/>
  <c r="K1" i="1"/>
  <c r="H8" i="3" l="1"/>
  <c r="X1" i="1"/>
  <c r="L1" i="1"/>
  <c r="I8" i="3" l="1"/>
  <c r="Y1" i="1"/>
  <c r="M1" i="1"/>
  <c r="J8" i="3" l="1"/>
  <c r="Z1" i="1"/>
  <c r="N1" i="1"/>
  <c r="K8" i="3" l="1"/>
  <c r="AA1" i="1"/>
  <c r="O1" i="1"/>
  <c r="L8" i="3" l="1"/>
  <c r="AB1" i="1"/>
  <c r="P1" i="1"/>
  <c r="M8" i="3" l="1"/>
  <c r="AC1" i="1"/>
  <c r="G367" i="1"/>
  <c r="G374" i="1" s="1"/>
  <c r="G391" i="1" l="1"/>
  <c r="G138" i="1" l="1"/>
  <c r="G136" i="1"/>
  <c r="G137" i="1"/>
  <c r="G140" i="1"/>
  <c r="G190" i="1"/>
  <c r="G135" i="1" l="1"/>
  <c r="G134" i="1"/>
  <c r="G133" i="1"/>
  <c r="G139" i="1"/>
  <c r="G130" i="1"/>
  <c r="G141" i="1" l="1"/>
  <c r="G88" i="1"/>
  <c r="G92" i="1"/>
  <c r="G189" i="1"/>
  <c r="G89" i="1"/>
  <c r="G93" i="1"/>
  <c r="G90" i="1"/>
  <c r="G87" i="1"/>
  <c r="B32" i="3" s="1"/>
  <c r="G91" i="1"/>
  <c r="G117" i="1"/>
  <c r="H104" i="1" l="1"/>
  <c r="H81" i="1" s="1"/>
  <c r="H126" i="1" s="1"/>
  <c r="B38" i="3"/>
  <c r="H102" i="1"/>
  <c r="H79" i="1" s="1"/>
  <c r="H124" i="1" s="1"/>
  <c r="B36" i="3"/>
  <c r="H103" i="1"/>
  <c r="H80" i="1" s="1"/>
  <c r="H125" i="1" s="1"/>
  <c r="B37" i="3"/>
  <c r="H101" i="1"/>
  <c r="H78" i="1" s="1"/>
  <c r="H123" i="1" s="1"/>
  <c r="B35" i="3"/>
  <c r="H100" i="1"/>
  <c r="H77" i="1" s="1"/>
  <c r="H122" i="1" s="1"/>
  <c r="B34" i="3"/>
  <c r="H99" i="1"/>
  <c r="B33" i="3"/>
  <c r="G94" i="1"/>
  <c r="H76" i="1" l="1"/>
  <c r="H121" i="1" s="1"/>
  <c r="H105" i="1"/>
  <c r="H82" i="1" s="1"/>
  <c r="H127" i="1" s="1"/>
  <c r="B39" i="3"/>
  <c r="H189" i="1"/>
  <c r="G95" i="1"/>
  <c r="B40" i="3" s="1"/>
  <c r="H30" i="1"/>
  <c r="H120" i="1"/>
  <c r="H83" i="1" l="1"/>
  <c r="H84" i="1" s="1"/>
  <c r="H21" i="1"/>
  <c r="H248" i="1" s="1"/>
  <c r="H128" i="1"/>
  <c r="I248" i="1" l="1"/>
  <c r="L16" i="6" s="1"/>
  <c r="L19" i="6" s="1"/>
  <c r="K16" i="6"/>
  <c r="K19" i="6" s="1"/>
  <c r="U20" i="1"/>
  <c r="U11" i="1"/>
  <c r="U7" i="1"/>
  <c r="U14" i="1"/>
  <c r="U4" i="1"/>
  <c r="U18" i="1"/>
  <c r="U10" i="1"/>
  <c r="U15" i="1"/>
  <c r="U6" i="1"/>
  <c r="U12" i="1"/>
  <c r="U17" i="1"/>
  <c r="U9" i="1"/>
  <c r="U16" i="1"/>
  <c r="U8" i="1"/>
  <c r="U13" i="1"/>
  <c r="U5" i="1"/>
  <c r="D271" i="4"/>
  <c r="D273" i="4" s="1"/>
  <c r="AC4" i="5"/>
  <c r="E332" i="4"/>
  <c r="E333" i="4" s="1"/>
  <c r="H277" i="1"/>
  <c r="H278" i="1" s="1"/>
  <c r="K18" i="6" s="1"/>
  <c r="E315" i="4"/>
  <c r="K13" i="6"/>
  <c r="H25" i="1"/>
  <c r="H47" i="1"/>
  <c r="H93" i="1"/>
  <c r="I104" i="1" s="1"/>
  <c r="I81" i="1" s="1"/>
  <c r="I126" i="1" s="1"/>
  <c r="H91" i="1"/>
  <c r="I102" i="1" s="1"/>
  <c r="I79" i="1" s="1"/>
  <c r="I124" i="1" s="1"/>
  <c r="H94" i="1"/>
  <c r="H89" i="1"/>
  <c r="I100" i="1" s="1"/>
  <c r="I77" i="1" s="1"/>
  <c r="I122" i="1" s="1"/>
  <c r="H88" i="1"/>
  <c r="I99" i="1" s="1"/>
  <c r="I76" i="1" s="1"/>
  <c r="I121" i="1" s="1"/>
  <c r="H92" i="1"/>
  <c r="I103" i="1" s="1"/>
  <c r="I80" i="1" s="1"/>
  <c r="I125" i="1" s="1"/>
  <c r="H90" i="1"/>
  <c r="I101" i="1" s="1"/>
  <c r="I78" i="1" s="1"/>
  <c r="I123" i="1" s="1"/>
  <c r="H87" i="1"/>
  <c r="H412" i="1"/>
  <c r="D8" i="6" s="1"/>
  <c r="H22" i="1"/>
  <c r="I21" i="1"/>
  <c r="I20" i="1" s="1"/>
  <c r="I46" i="1" s="1"/>
  <c r="H133" i="1"/>
  <c r="E9" i="3"/>
  <c r="D228" i="4" s="1"/>
  <c r="F228" i="4" s="1"/>
  <c r="H140" i="1"/>
  <c r="H117" i="1"/>
  <c r="H190" i="1"/>
  <c r="H138" i="1"/>
  <c r="H137" i="1"/>
  <c r="H134" i="1"/>
  <c r="H135" i="1"/>
  <c r="H139" i="1"/>
  <c r="H136" i="1"/>
  <c r="AC78" i="5" l="1"/>
  <c r="AC75" i="5"/>
  <c r="H69" i="3" s="1"/>
  <c r="E318" i="4"/>
  <c r="E319" i="4" s="1"/>
  <c r="H274" i="1"/>
  <c r="D276" i="4" s="1"/>
  <c r="L13" i="6"/>
  <c r="F315" i="4"/>
  <c r="H24" i="1"/>
  <c r="E316" i="4"/>
  <c r="H48" i="1"/>
  <c r="H257" i="1" s="1"/>
  <c r="H262" i="1" s="1"/>
  <c r="I75" i="1"/>
  <c r="I120" i="1" s="1"/>
  <c r="I105" i="1"/>
  <c r="I82" i="1" s="1"/>
  <c r="H49" i="1"/>
  <c r="H50" i="1"/>
  <c r="H95" i="1"/>
  <c r="H351" i="1"/>
  <c r="K140" i="5" s="1"/>
  <c r="J140" i="5" s="1"/>
  <c r="I47" i="1"/>
  <c r="F318" i="4" s="1"/>
  <c r="F319" i="4" s="1"/>
  <c r="E229" i="4"/>
  <c r="E230" i="4" s="1"/>
  <c r="F227" i="4"/>
  <c r="I393" i="1"/>
  <c r="I371" i="1" s="1"/>
  <c r="I397" i="1"/>
  <c r="I383" i="1" s="1"/>
  <c r="I412" i="1" s="1"/>
  <c r="I13" i="1"/>
  <c r="I39" i="1" s="1"/>
  <c r="I16" i="1"/>
  <c r="I42" i="1" s="1"/>
  <c r="I10" i="1"/>
  <c r="I36" i="1" s="1"/>
  <c r="I12" i="1"/>
  <c r="I38" i="1" s="1"/>
  <c r="I8" i="1"/>
  <c r="I34" i="1" s="1"/>
  <c r="I15" i="1"/>
  <c r="I41" i="1" s="1"/>
  <c r="I14" i="1"/>
  <c r="I40" i="1" s="1"/>
  <c r="I17" i="1"/>
  <c r="I43" i="1" s="1"/>
  <c r="I7" i="1"/>
  <c r="I33" i="1" s="1"/>
  <c r="I11" i="1"/>
  <c r="D15" i="6"/>
  <c r="J21" i="1"/>
  <c r="J20" i="1" s="1"/>
  <c r="J46" i="1" s="1"/>
  <c r="I247" i="1"/>
  <c r="H141" i="1"/>
  <c r="B484" i="1" l="1"/>
  <c r="E8" i="6"/>
  <c r="H154" i="8"/>
  <c r="I37" i="1"/>
  <c r="I4" i="1"/>
  <c r="V4" i="1" s="1"/>
  <c r="K15" i="6"/>
  <c r="D278" i="4"/>
  <c r="E328" i="4"/>
  <c r="E329" i="4" s="1"/>
  <c r="I268" i="1"/>
  <c r="F332" i="4"/>
  <c r="M13" i="6"/>
  <c r="N13" i="6" s="1"/>
  <c r="G315" i="4"/>
  <c r="H301" i="1"/>
  <c r="E338" i="4"/>
  <c r="B498" i="1"/>
  <c r="B500" i="1" s="1"/>
  <c r="B503" i="1" s="1"/>
  <c r="B505" i="1" s="1"/>
  <c r="B506" i="1" s="1"/>
  <c r="F355" i="4" s="1"/>
  <c r="I50" i="1"/>
  <c r="I51" i="1" s="1"/>
  <c r="K96" i="5"/>
  <c r="I127" i="1"/>
  <c r="I128" i="1" s="1"/>
  <c r="F9" i="3" s="1"/>
  <c r="D232" i="4" s="1"/>
  <c r="F232" i="4" s="1"/>
  <c r="E233" i="4" s="1"/>
  <c r="E234" i="4" s="1"/>
  <c r="I83" i="1"/>
  <c r="I189" i="1" s="1"/>
  <c r="J47" i="1"/>
  <c r="H350" i="1"/>
  <c r="E344" i="4" s="1"/>
  <c r="E231" i="4"/>
  <c r="H269" i="1"/>
  <c r="J397" i="1"/>
  <c r="J383" i="1" s="1"/>
  <c r="J412" i="1" s="1"/>
  <c r="J393" i="1"/>
  <c r="J371" i="1" s="1"/>
  <c r="J11" i="1"/>
  <c r="J37" i="1" s="1"/>
  <c r="J15" i="1"/>
  <c r="J41" i="1" s="1"/>
  <c r="J10" i="1"/>
  <c r="J36" i="1" s="1"/>
  <c r="J14" i="1"/>
  <c r="J40" i="1" s="1"/>
  <c r="J7" i="1"/>
  <c r="J33" i="1" s="1"/>
  <c r="J8" i="1"/>
  <c r="J34" i="1" s="1"/>
  <c r="J16" i="1"/>
  <c r="J42" i="1" s="1"/>
  <c r="J17" i="1"/>
  <c r="J43" i="1" s="1"/>
  <c r="J12" i="1"/>
  <c r="J38" i="1" s="1"/>
  <c r="J13" i="1"/>
  <c r="J39" i="1" s="1"/>
  <c r="H297" i="1"/>
  <c r="K21" i="1"/>
  <c r="H315" i="4" l="1"/>
  <c r="K20" i="1"/>
  <c r="K46" i="1" s="1"/>
  <c r="I25" i="1"/>
  <c r="I269" i="1"/>
  <c r="F8" i="6"/>
  <c r="H169" i="8"/>
  <c r="R64" i="5"/>
  <c r="Q64" i="5" s="1"/>
  <c r="P64" i="5" s="1"/>
  <c r="I30" i="1"/>
  <c r="R5" i="5"/>
  <c r="J65" i="5"/>
  <c r="AC64" i="5"/>
  <c r="H67" i="3" s="1"/>
  <c r="I67" i="3" s="1"/>
  <c r="D279" i="4"/>
  <c r="J48" i="1"/>
  <c r="J257" i="1" s="1"/>
  <c r="G318" i="4"/>
  <c r="G319" i="4" s="1"/>
  <c r="D17" i="6"/>
  <c r="G17" i="6" s="1"/>
  <c r="D13" i="6"/>
  <c r="I91" i="1"/>
  <c r="J102" i="1" s="1"/>
  <c r="J79" i="1" s="1"/>
  <c r="J124" i="1" s="1"/>
  <c r="I92" i="1"/>
  <c r="J103" i="1" s="1"/>
  <c r="J80" i="1" s="1"/>
  <c r="J125" i="1" s="1"/>
  <c r="I89" i="1"/>
  <c r="J100" i="1" s="1"/>
  <c r="J77" i="1" s="1"/>
  <c r="J122" i="1" s="1"/>
  <c r="I93" i="1"/>
  <c r="J104" i="1" s="1"/>
  <c r="J81" i="1" s="1"/>
  <c r="J126" i="1" s="1"/>
  <c r="I94" i="1"/>
  <c r="I90" i="1"/>
  <c r="J101" i="1" s="1"/>
  <c r="J78" i="1" s="1"/>
  <c r="J123" i="1" s="1"/>
  <c r="I87" i="1"/>
  <c r="I84" i="1"/>
  <c r="I88" i="1"/>
  <c r="J99" i="1" s="1"/>
  <c r="J76" i="1" s="1"/>
  <c r="J121" i="1" s="1"/>
  <c r="K47" i="1"/>
  <c r="K139" i="5"/>
  <c r="J139" i="5" s="1"/>
  <c r="K136" i="5"/>
  <c r="J136" i="5" s="1"/>
  <c r="E235" i="4"/>
  <c r="F231" i="4"/>
  <c r="K393" i="1"/>
  <c r="K371" i="1" s="1"/>
  <c r="K397" i="1"/>
  <c r="K383" i="1" s="1"/>
  <c r="K412" i="1" s="1"/>
  <c r="D14" i="6"/>
  <c r="H347" i="1"/>
  <c r="H254" i="1"/>
  <c r="E334" i="4" s="1"/>
  <c r="H271" i="1"/>
  <c r="H272" i="1" s="1"/>
  <c r="K13" i="1"/>
  <c r="K39" i="1" s="1"/>
  <c r="K16" i="1"/>
  <c r="K42" i="1" s="1"/>
  <c r="K10" i="1"/>
  <c r="K36" i="1" s="1"/>
  <c r="K12" i="1"/>
  <c r="K38" i="1" s="1"/>
  <c r="K8" i="1"/>
  <c r="K34" i="1" s="1"/>
  <c r="K15" i="1"/>
  <c r="K41" i="1" s="1"/>
  <c r="K17" i="1"/>
  <c r="K43" i="1" s="1"/>
  <c r="K7" i="1"/>
  <c r="K33" i="1" s="1"/>
  <c r="K11" i="1"/>
  <c r="K37" i="1" s="1"/>
  <c r="K14" i="1"/>
  <c r="K40" i="1" s="1"/>
  <c r="L21" i="1"/>
  <c r="I117" i="1"/>
  <c r="I190" i="1"/>
  <c r="I137" i="1"/>
  <c r="I138" i="1"/>
  <c r="I135" i="1"/>
  <c r="I140" i="1"/>
  <c r="I139" i="1"/>
  <c r="I134" i="1"/>
  <c r="I136" i="1"/>
  <c r="I133" i="1"/>
  <c r="I315" i="4" l="1"/>
  <c r="L20" i="1"/>
  <c r="L46" i="1" s="1"/>
  <c r="E15" i="6"/>
  <c r="Q104" i="5"/>
  <c r="P104" i="5" s="1"/>
  <c r="R17" i="5"/>
  <c r="F338" i="4"/>
  <c r="I301" i="1"/>
  <c r="Q5" i="5"/>
  <c r="I49" i="1"/>
  <c r="K151" i="5"/>
  <c r="AC57" i="5"/>
  <c r="K48" i="1"/>
  <c r="K257" i="1" s="1"/>
  <c r="H318" i="4"/>
  <c r="H319" i="4" s="1"/>
  <c r="I95" i="1"/>
  <c r="J98" i="1"/>
  <c r="J75" i="1" s="1"/>
  <c r="L47" i="1"/>
  <c r="H303" i="1"/>
  <c r="K93" i="5"/>
  <c r="L393" i="1"/>
  <c r="L371" i="1" s="1"/>
  <c r="L397" i="1"/>
  <c r="L383" i="1" s="1"/>
  <c r="L412" i="1" s="1"/>
  <c r="H298" i="1"/>
  <c r="L7" i="1"/>
  <c r="L33" i="1" s="1"/>
  <c r="L14" i="1"/>
  <c r="L40" i="1" s="1"/>
  <c r="L17" i="1"/>
  <c r="L43" i="1" s="1"/>
  <c r="L10" i="1"/>
  <c r="L36" i="1" s="1"/>
  <c r="L15" i="1"/>
  <c r="L41" i="1" s="1"/>
  <c r="L16" i="1"/>
  <c r="L42" i="1" s="1"/>
  <c r="L12" i="1"/>
  <c r="L38" i="1" s="1"/>
  <c r="L11" i="1"/>
  <c r="L37" i="1" s="1"/>
  <c r="L8" i="1"/>
  <c r="L34" i="1" s="1"/>
  <c r="L13" i="1"/>
  <c r="L39" i="1" s="1"/>
  <c r="M21" i="1"/>
  <c r="I141" i="1"/>
  <c r="J315" i="4" l="1"/>
  <c r="M20" i="1"/>
  <c r="M46" i="1" s="1"/>
  <c r="Q17" i="5"/>
  <c r="R11" i="5"/>
  <c r="P5" i="5"/>
  <c r="P25" i="5" s="1"/>
  <c r="AC151" i="5"/>
  <c r="U151" i="5" s="1"/>
  <c r="H65" i="3"/>
  <c r="I65" i="3" s="1"/>
  <c r="H304" i="1"/>
  <c r="D16" i="6"/>
  <c r="H307" i="1"/>
  <c r="D287" i="4" s="1"/>
  <c r="D289" i="4" s="1"/>
  <c r="H355" i="1"/>
  <c r="H357" i="1" s="1"/>
  <c r="E339" i="4"/>
  <c r="L48" i="1"/>
  <c r="L257" i="1" s="1"/>
  <c r="I318" i="4"/>
  <c r="I319" i="4" s="1"/>
  <c r="H306" i="1"/>
  <c r="H264" i="1" s="1"/>
  <c r="H348" i="1"/>
  <c r="J151" i="5"/>
  <c r="J58" i="5"/>
  <c r="J120" i="1"/>
  <c r="J4" i="1"/>
  <c r="J30" i="1" s="1"/>
  <c r="J105" i="1"/>
  <c r="J82" i="1" s="1"/>
  <c r="J127" i="1" s="1"/>
  <c r="M397" i="1"/>
  <c r="M383" i="1" s="1"/>
  <c r="M412" i="1" s="1"/>
  <c r="M47" i="1"/>
  <c r="K94" i="5"/>
  <c r="K99" i="5"/>
  <c r="H305" i="1"/>
  <c r="M393" i="1"/>
  <c r="M371" i="1" s="1"/>
  <c r="M16" i="1"/>
  <c r="M42" i="1" s="1"/>
  <c r="M10" i="1"/>
  <c r="M36" i="1" s="1"/>
  <c r="M8" i="1"/>
  <c r="M34" i="1" s="1"/>
  <c r="M15" i="1"/>
  <c r="M41" i="1" s="1"/>
  <c r="M17" i="1"/>
  <c r="M43" i="1" s="1"/>
  <c r="M11" i="1"/>
  <c r="M37" i="1" s="1"/>
  <c r="M14" i="1"/>
  <c r="M40" i="1" s="1"/>
  <c r="M13" i="1"/>
  <c r="M39" i="1" s="1"/>
  <c r="M12" i="1"/>
  <c r="M38" i="1" s="1"/>
  <c r="M7" i="1"/>
  <c r="M33" i="1" s="1"/>
  <c r="N21" i="1"/>
  <c r="K315" i="4" l="1"/>
  <c r="N20" i="1"/>
  <c r="N46" i="1" s="1"/>
  <c r="K101" i="5"/>
  <c r="P17" i="5"/>
  <c r="Q11" i="5"/>
  <c r="J49" i="1"/>
  <c r="W4" i="1"/>
  <c r="D290" i="4"/>
  <c r="H356" i="1"/>
  <c r="D298" i="4"/>
  <c r="E346" i="4"/>
  <c r="E340" i="4"/>
  <c r="M48" i="1"/>
  <c r="M257" i="1" s="1"/>
  <c r="J318" i="4"/>
  <c r="J319" i="4" s="1"/>
  <c r="J25" i="1"/>
  <c r="J128" i="1"/>
  <c r="G9" i="3" s="1"/>
  <c r="D236" i="4" s="1"/>
  <c r="F236" i="4" s="1"/>
  <c r="F235" i="4" s="1"/>
  <c r="J83" i="1"/>
  <c r="N397" i="1"/>
  <c r="N383" i="1" s="1"/>
  <c r="N412" i="1" s="1"/>
  <c r="N47" i="1"/>
  <c r="K100" i="5"/>
  <c r="N393" i="1"/>
  <c r="N371" i="1" s="1"/>
  <c r="N7" i="1"/>
  <c r="N33" i="1" s="1"/>
  <c r="N8" i="1"/>
  <c r="N34" i="1" s="1"/>
  <c r="N14" i="1"/>
  <c r="N40" i="1" s="1"/>
  <c r="N12" i="1"/>
  <c r="N38" i="1" s="1"/>
  <c r="N11" i="1"/>
  <c r="N37" i="1" s="1"/>
  <c r="N10" i="1"/>
  <c r="N36" i="1" s="1"/>
  <c r="N15" i="1"/>
  <c r="N41" i="1" s="1"/>
  <c r="N13" i="1"/>
  <c r="N39" i="1" s="1"/>
  <c r="N17" i="1"/>
  <c r="N43" i="1" s="1"/>
  <c r="N16" i="1"/>
  <c r="N42" i="1" s="1"/>
  <c r="O21" i="1"/>
  <c r="L315" i="4" l="1"/>
  <c r="O20" i="1"/>
  <c r="O46" i="1" s="1"/>
  <c r="P37" i="5"/>
  <c r="P11" i="5"/>
  <c r="D306" i="4"/>
  <c r="D308" i="4" s="1"/>
  <c r="D300" i="4"/>
  <c r="D293" i="4"/>
  <c r="D295" i="4" s="1"/>
  <c r="D301" i="4"/>
  <c r="J139" i="1"/>
  <c r="N48" i="1"/>
  <c r="N257" i="1" s="1"/>
  <c r="K318" i="4"/>
  <c r="K319" i="4" s="1"/>
  <c r="J137" i="1"/>
  <c r="J117" i="1"/>
  <c r="J133" i="1"/>
  <c r="J140" i="1"/>
  <c r="J190" i="1"/>
  <c r="J134" i="1"/>
  <c r="J135" i="1"/>
  <c r="J136" i="1"/>
  <c r="J138" i="1"/>
  <c r="J90" i="1"/>
  <c r="K101" i="1" s="1"/>
  <c r="K78" i="1" s="1"/>
  <c r="K123" i="1" s="1"/>
  <c r="J92" i="1"/>
  <c r="K103" i="1" s="1"/>
  <c r="K80" i="1" s="1"/>
  <c r="K125" i="1" s="1"/>
  <c r="J84" i="1"/>
  <c r="J93" i="1"/>
  <c r="K104" i="1" s="1"/>
  <c r="K81" i="1" s="1"/>
  <c r="K126" i="1" s="1"/>
  <c r="J88" i="1"/>
  <c r="K99" i="1" s="1"/>
  <c r="K76" i="1" s="1"/>
  <c r="K121" i="1" s="1"/>
  <c r="J189" i="1"/>
  <c r="J89" i="1"/>
  <c r="K100" i="1" s="1"/>
  <c r="K77" i="1" s="1"/>
  <c r="K122" i="1" s="1"/>
  <c r="J87" i="1"/>
  <c r="J91" i="1"/>
  <c r="K102" i="1" s="1"/>
  <c r="K79" i="1" s="1"/>
  <c r="K124" i="1" s="1"/>
  <c r="J94" i="1"/>
  <c r="O47" i="1"/>
  <c r="O393" i="1"/>
  <c r="O371" i="1" s="1"/>
  <c r="O397" i="1"/>
  <c r="O383" i="1" s="1"/>
  <c r="O412" i="1" s="1"/>
  <c r="O16" i="1"/>
  <c r="O42" i="1" s="1"/>
  <c r="O17" i="1"/>
  <c r="O43" i="1" s="1"/>
  <c r="O11" i="1"/>
  <c r="O37" i="1" s="1"/>
  <c r="O10" i="1"/>
  <c r="O36" i="1" s="1"/>
  <c r="O13" i="1"/>
  <c r="O39" i="1" s="1"/>
  <c r="O12" i="1"/>
  <c r="O38" i="1" s="1"/>
  <c r="O8" i="1"/>
  <c r="O34" i="1" s="1"/>
  <c r="O15" i="1"/>
  <c r="O41" i="1" s="1"/>
  <c r="O14" i="1"/>
  <c r="O40" i="1" s="1"/>
  <c r="O7" i="1"/>
  <c r="O33" i="1" s="1"/>
  <c r="P21" i="1"/>
  <c r="M315" i="4" l="1"/>
  <c r="P20" i="1"/>
  <c r="P46" i="1" s="1"/>
  <c r="O48" i="1"/>
  <c r="O257" i="1" s="1"/>
  <c r="L318" i="4"/>
  <c r="L319" i="4" s="1"/>
  <c r="J141" i="1"/>
  <c r="J95" i="1"/>
  <c r="K98" i="1"/>
  <c r="P393" i="1"/>
  <c r="P371" i="1" s="1"/>
  <c r="P47" i="1"/>
  <c r="P397" i="1"/>
  <c r="P383" i="1" s="1"/>
  <c r="P412" i="1" s="1"/>
  <c r="P7" i="1"/>
  <c r="P33" i="1" s="1"/>
  <c r="P14" i="1"/>
  <c r="P40" i="1" s="1"/>
  <c r="P12" i="1"/>
  <c r="P38" i="1" s="1"/>
  <c r="P11" i="1"/>
  <c r="P37" i="1" s="1"/>
  <c r="P13" i="1"/>
  <c r="P39" i="1" s="1"/>
  <c r="P15" i="1"/>
  <c r="P41" i="1" s="1"/>
  <c r="P17" i="1"/>
  <c r="P43" i="1" s="1"/>
  <c r="P8" i="1"/>
  <c r="P34" i="1" s="1"/>
  <c r="P10" i="1"/>
  <c r="P36" i="1" s="1"/>
  <c r="P16" i="1"/>
  <c r="P42" i="1" s="1"/>
  <c r="P48" i="1" l="1"/>
  <c r="P257" i="1" s="1"/>
  <c r="M318" i="4"/>
  <c r="M319" i="4" s="1"/>
  <c r="K75" i="1"/>
  <c r="K105" i="1"/>
  <c r="K82" i="1" s="1"/>
  <c r="K127" i="1" s="1"/>
  <c r="K120" i="1" l="1"/>
  <c r="K4" i="1"/>
  <c r="K83" i="1"/>
  <c r="K87" i="1" l="1"/>
  <c r="K189" i="1"/>
  <c r="K91" i="1"/>
  <c r="L102" i="1" s="1"/>
  <c r="L79" i="1" s="1"/>
  <c r="L124" i="1" s="1"/>
  <c r="K93" i="1"/>
  <c r="L104" i="1" s="1"/>
  <c r="L81" i="1" s="1"/>
  <c r="L126" i="1" s="1"/>
  <c r="K84" i="1"/>
  <c r="K88" i="1"/>
  <c r="L99" i="1" s="1"/>
  <c r="L76" i="1" s="1"/>
  <c r="L121" i="1" s="1"/>
  <c r="K90" i="1"/>
  <c r="L101" i="1" s="1"/>
  <c r="L78" i="1" s="1"/>
  <c r="L123" i="1" s="1"/>
  <c r="K89" i="1"/>
  <c r="L100" i="1" s="1"/>
  <c r="L77" i="1" s="1"/>
  <c r="L122" i="1" s="1"/>
  <c r="K92" i="1"/>
  <c r="L103" i="1" s="1"/>
  <c r="L80" i="1" s="1"/>
  <c r="L125" i="1" s="1"/>
  <c r="K94" i="1"/>
  <c r="K25" i="1"/>
  <c r="X4" i="1"/>
  <c r="K30" i="1"/>
  <c r="K49" i="1" s="1"/>
  <c r="K128" i="1"/>
  <c r="K133" i="1" s="1"/>
  <c r="H9" i="3" l="1"/>
  <c r="K136" i="1"/>
  <c r="K134" i="1"/>
  <c r="K135" i="1"/>
  <c r="K140" i="1"/>
  <c r="K138" i="1"/>
  <c r="K190" i="1"/>
  <c r="K117" i="1"/>
  <c r="K137" i="1"/>
  <c r="K139" i="1"/>
  <c r="L98" i="1"/>
  <c r="K95" i="1"/>
  <c r="K141" i="1" l="1"/>
  <c r="L75" i="1"/>
  <c r="L105" i="1"/>
  <c r="L82" i="1" s="1"/>
  <c r="L127" i="1" l="1"/>
  <c r="L4" i="1"/>
  <c r="L120" i="1"/>
  <c r="L83" i="1"/>
  <c r="L87" i="1" l="1"/>
  <c r="L189" i="1"/>
  <c r="L92" i="1"/>
  <c r="M103" i="1" s="1"/>
  <c r="M80" i="1" s="1"/>
  <c r="L93" i="1"/>
  <c r="M104" i="1" s="1"/>
  <c r="M81" i="1" s="1"/>
  <c r="L84" i="1"/>
  <c r="L89" i="1"/>
  <c r="M100" i="1" s="1"/>
  <c r="M77" i="1" s="1"/>
  <c r="L91" i="1"/>
  <c r="M102" i="1" s="1"/>
  <c r="M79" i="1" s="1"/>
  <c r="L88" i="1"/>
  <c r="M99" i="1" s="1"/>
  <c r="M76" i="1" s="1"/>
  <c r="L90" i="1"/>
  <c r="M101" i="1" s="1"/>
  <c r="M78" i="1" s="1"/>
  <c r="L128" i="1"/>
  <c r="L140" i="1" s="1"/>
  <c r="L30" i="1"/>
  <c r="L49" i="1" s="1"/>
  <c r="L25" i="1"/>
  <c r="Y4" i="1"/>
  <c r="L94" i="1"/>
  <c r="L133" i="1" l="1"/>
  <c r="M124" i="1"/>
  <c r="M126" i="1"/>
  <c r="L138" i="1"/>
  <c r="I9" i="3"/>
  <c r="L137" i="1"/>
  <c r="L117" i="1"/>
  <c r="L190" i="1"/>
  <c r="L139" i="1"/>
  <c r="L134" i="1"/>
  <c r="L135" i="1"/>
  <c r="L136" i="1"/>
  <c r="M121" i="1"/>
  <c r="M122" i="1"/>
  <c r="M125" i="1"/>
  <c r="M123" i="1"/>
  <c r="M98" i="1"/>
  <c r="L95" i="1"/>
  <c r="L141" i="1" l="1"/>
  <c r="M105" i="1"/>
  <c r="M82" i="1" s="1"/>
  <c r="M75" i="1"/>
  <c r="M120" i="1" l="1"/>
  <c r="M4" i="1"/>
  <c r="M83" i="1"/>
  <c r="M87" i="1" s="1"/>
  <c r="M127" i="1"/>
  <c r="M94" i="1" l="1"/>
  <c r="N98" i="1"/>
  <c r="M128" i="1"/>
  <c r="M140" i="1" s="1"/>
  <c r="M25" i="1"/>
  <c r="Z4" i="1"/>
  <c r="M30" i="1"/>
  <c r="M49" i="1" s="1"/>
  <c r="M84" i="1"/>
  <c r="M189" i="1"/>
  <c r="M92" i="1"/>
  <c r="N103" i="1" s="1"/>
  <c r="N80" i="1" s="1"/>
  <c r="M91" i="1"/>
  <c r="N102" i="1" s="1"/>
  <c r="N79" i="1" s="1"/>
  <c r="M89" i="1"/>
  <c r="N100" i="1" s="1"/>
  <c r="N77" i="1" s="1"/>
  <c r="M90" i="1"/>
  <c r="N101" i="1" s="1"/>
  <c r="N78" i="1" s="1"/>
  <c r="M88" i="1"/>
  <c r="N99" i="1" s="1"/>
  <c r="N76" i="1" s="1"/>
  <c r="M93" i="1"/>
  <c r="N104" i="1" s="1"/>
  <c r="N81" i="1" s="1"/>
  <c r="M133" i="1"/>
  <c r="N126" i="1" l="1"/>
  <c r="N122" i="1"/>
  <c r="N121" i="1"/>
  <c r="J9" i="3"/>
  <c r="M190" i="1"/>
  <c r="M117" i="1"/>
  <c r="M136" i="1"/>
  <c r="M134" i="1"/>
  <c r="M138" i="1"/>
  <c r="M137" i="1"/>
  <c r="M139" i="1"/>
  <c r="M135" i="1"/>
  <c r="N125" i="1"/>
  <c r="M95" i="1"/>
  <c r="N123" i="1"/>
  <c r="N124" i="1"/>
  <c r="N105" i="1"/>
  <c r="N82" i="1" s="1"/>
  <c r="N75" i="1"/>
  <c r="M141" i="1" l="1"/>
  <c r="N127" i="1"/>
  <c r="N120" i="1"/>
  <c r="N83" i="1"/>
  <c r="N94" i="1" s="1"/>
  <c r="N4" i="1"/>
  <c r="B486" i="1"/>
  <c r="B489" i="1" s="1"/>
  <c r="B491" i="1" s="1"/>
  <c r="B492" i="1" s="1"/>
  <c r="E355" i="4" l="1"/>
  <c r="N128" i="1"/>
  <c r="N133" i="1" s="1"/>
  <c r="N87" i="1"/>
  <c r="O98" i="1" s="1"/>
  <c r="N140" i="1"/>
  <c r="N138" i="1"/>
  <c r="N30" i="1"/>
  <c r="N49" i="1" s="1"/>
  <c r="N25" i="1"/>
  <c r="AA4" i="1"/>
  <c r="N189" i="1"/>
  <c r="N84" i="1"/>
  <c r="N90" i="1"/>
  <c r="O101" i="1" s="1"/>
  <c r="O78" i="1" s="1"/>
  <c r="O123" i="1" s="1"/>
  <c r="N92" i="1"/>
  <c r="O103" i="1" s="1"/>
  <c r="O80" i="1" s="1"/>
  <c r="O125" i="1" s="1"/>
  <c r="N91" i="1"/>
  <c r="O102" i="1" s="1"/>
  <c r="O79" i="1" s="1"/>
  <c r="O124" i="1" s="1"/>
  <c r="N93" i="1"/>
  <c r="O104" i="1" s="1"/>
  <c r="O81" i="1" s="1"/>
  <c r="O126" i="1" s="1"/>
  <c r="N88" i="1"/>
  <c r="O99" i="1" s="1"/>
  <c r="O76" i="1" s="1"/>
  <c r="O121" i="1" s="1"/>
  <c r="N89" i="1"/>
  <c r="O100" i="1" s="1"/>
  <c r="O77" i="1" s="1"/>
  <c r="O122" i="1" s="1"/>
  <c r="I274" i="1"/>
  <c r="E276" i="4" s="1"/>
  <c r="H275" i="1"/>
  <c r="L15" i="6" l="1"/>
  <c r="J274" i="1"/>
  <c r="F276" i="4" s="1"/>
  <c r="F328" i="4"/>
  <c r="F329" i="4" s="1"/>
  <c r="N117" i="1"/>
  <c r="N134" i="1"/>
  <c r="N139" i="1"/>
  <c r="N137" i="1"/>
  <c r="N135" i="1"/>
  <c r="N190" i="1"/>
  <c r="K9" i="3"/>
  <c r="N136" i="1"/>
  <c r="N95" i="1"/>
  <c r="O105" i="1"/>
  <c r="O82" i="1" s="1"/>
  <c r="O75" i="1"/>
  <c r="K274" i="1" l="1"/>
  <c r="G276" i="4" s="1"/>
  <c r="G328" i="4"/>
  <c r="G329" i="4" s="1"/>
  <c r="M15" i="6"/>
  <c r="E279" i="4"/>
  <c r="E278" i="4"/>
  <c r="N141" i="1"/>
  <c r="O127" i="1"/>
  <c r="O4" i="1"/>
  <c r="O83" i="1"/>
  <c r="O94" i="1" s="1"/>
  <c r="O120" i="1"/>
  <c r="H328" i="4" l="1"/>
  <c r="H329" i="4" s="1"/>
  <c r="L274" i="1"/>
  <c r="H276" i="4" s="1"/>
  <c r="G279" i="4"/>
  <c r="G278" i="4"/>
  <c r="F279" i="4"/>
  <c r="F278" i="4"/>
  <c r="O87" i="1"/>
  <c r="P98" i="1" s="1"/>
  <c r="O128" i="1"/>
  <c r="O133" i="1" s="1"/>
  <c r="O25" i="1"/>
  <c r="AB4" i="1"/>
  <c r="O30" i="1"/>
  <c r="O49" i="1" s="1"/>
  <c r="O91" i="1"/>
  <c r="P102" i="1" s="1"/>
  <c r="P79" i="1" s="1"/>
  <c r="P124" i="1" s="1"/>
  <c r="O90" i="1"/>
  <c r="P101" i="1" s="1"/>
  <c r="P78" i="1" s="1"/>
  <c r="P123" i="1" s="1"/>
  <c r="O189" i="1"/>
  <c r="O84" i="1"/>
  <c r="O92" i="1"/>
  <c r="P103" i="1" s="1"/>
  <c r="P80" i="1" s="1"/>
  <c r="P125" i="1" s="1"/>
  <c r="O88" i="1"/>
  <c r="P99" i="1" s="1"/>
  <c r="P76" i="1" s="1"/>
  <c r="P121" i="1" s="1"/>
  <c r="O89" i="1"/>
  <c r="P100" i="1" s="1"/>
  <c r="P77" i="1" s="1"/>
  <c r="P122" i="1" s="1"/>
  <c r="O93" i="1"/>
  <c r="P104" i="1" s="1"/>
  <c r="P81" i="1" s="1"/>
  <c r="P126" i="1" s="1"/>
  <c r="M274" i="1"/>
  <c r="I276" i="4" s="1"/>
  <c r="I328" i="4" l="1"/>
  <c r="I329" i="4" s="1"/>
  <c r="H279" i="4"/>
  <c r="H278" i="4"/>
  <c r="J328" i="4"/>
  <c r="J329" i="4" s="1"/>
  <c r="P105" i="1"/>
  <c r="P82" i="1" s="1"/>
  <c r="P127" i="1" s="1"/>
  <c r="P75" i="1"/>
  <c r="O95" i="1"/>
  <c r="O140" i="1"/>
  <c r="O134" i="1"/>
  <c r="O190" i="1"/>
  <c r="O138" i="1"/>
  <c r="O137" i="1"/>
  <c r="O117" i="1"/>
  <c r="L9" i="3"/>
  <c r="O136" i="1"/>
  <c r="O139" i="1"/>
  <c r="O135" i="1"/>
  <c r="N274" i="1"/>
  <c r="J276" i="4" s="1"/>
  <c r="I279" i="4" l="1"/>
  <c r="I278" i="4"/>
  <c r="K328" i="4"/>
  <c r="K329" i="4" s="1"/>
  <c r="O141" i="1"/>
  <c r="P4" i="1"/>
  <c r="P83" i="1"/>
  <c r="P120" i="1"/>
  <c r="P128" i="1" s="1"/>
  <c r="P136" i="1" s="1"/>
  <c r="O274" i="1"/>
  <c r="K276" i="4" s="1"/>
  <c r="J279" i="4" l="1"/>
  <c r="J278" i="4"/>
  <c r="L328" i="4"/>
  <c r="L329" i="4" s="1"/>
  <c r="P135" i="1"/>
  <c r="P190" i="1"/>
  <c r="P117" i="1"/>
  <c r="M9" i="3"/>
  <c r="P138" i="1"/>
  <c r="P134" i="1"/>
  <c r="P84" i="1"/>
  <c r="P91" i="1"/>
  <c r="P94" i="1"/>
  <c r="P89" i="1"/>
  <c r="P92" i="1"/>
  <c r="P93" i="1"/>
  <c r="P90" i="1"/>
  <c r="P88" i="1"/>
  <c r="P87" i="1"/>
  <c r="P189" i="1"/>
  <c r="P133" i="1"/>
  <c r="P140" i="1"/>
  <c r="P137" i="1"/>
  <c r="P139" i="1"/>
  <c r="P30" i="1"/>
  <c r="P49" i="1" s="1"/>
  <c r="AC4" i="1"/>
  <c r="P25" i="1"/>
  <c r="P274" i="1"/>
  <c r="L276" i="4" s="1"/>
  <c r="M328" i="4" l="1"/>
  <c r="M329" i="4" s="1"/>
  <c r="K279" i="4"/>
  <c r="K278" i="4"/>
  <c r="P141" i="1"/>
  <c r="P95" i="1"/>
  <c r="H212" i="1"/>
  <c r="H214" i="1" s="1"/>
  <c r="U230" i="1"/>
  <c r="G230" i="1" s="1"/>
  <c r="U231" i="1"/>
  <c r="G231" i="1" s="1"/>
  <c r="U232" i="1"/>
  <c r="G232" i="1" s="1"/>
  <c r="U233" i="1"/>
  <c r="G233" i="1" s="1"/>
  <c r="G212" i="1" s="1"/>
  <c r="G211" i="1" s="1"/>
  <c r="U234" i="1"/>
  <c r="U235" i="1"/>
  <c r="G235" i="1" s="1"/>
  <c r="U236" i="1"/>
  <c r="G236" i="1" s="1"/>
  <c r="U237" i="1"/>
  <c r="G237" i="1" s="1"/>
  <c r="U238" i="1"/>
  <c r="G238" i="1" s="1"/>
  <c r="U239" i="1"/>
  <c r="G239" i="1" s="1"/>
  <c r="U240" i="1"/>
  <c r="G240" i="1" s="1"/>
  <c r="U241" i="1"/>
  <c r="G241" i="1" s="1"/>
  <c r="U243" i="1"/>
  <c r="G243" i="1" s="1"/>
  <c r="L279" i="4" l="1"/>
  <c r="L278" i="4"/>
  <c r="M276" i="4"/>
  <c r="G234" i="1"/>
  <c r="I214" i="1"/>
  <c r="I212" i="1" s="1"/>
  <c r="H211" i="1"/>
  <c r="I211" i="1" l="1"/>
  <c r="I233" i="1" s="1"/>
  <c r="J214" i="1"/>
  <c r="J212" i="1" s="1"/>
  <c r="K214" i="1" l="1"/>
  <c r="K212" i="1" s="1"/>
  <c r="L214" i="1" l="1"/>
  <c r="L212" i="1" s="1"/>
  <c r="M214" i="1" l="1"/>
  <c r="M212" i="1" s="1"/>
  <c r="N214" i="1" l="1"/>
  <c r="N212" i="1" s="1"/>
  <c r="O214" i="1" l="1"/>
  <c r="O212" i="1" s="1"/>
  <c r="P214" i="1" l="1"/>
  <c r="P212" i="1" s="1"/>
  <c r="H195" i="1"/>
  <c r="U229" i="1"/>
  <c r="G229" i="1" s="1"/>
  <c r="H197" i="1" l="1"/>
  <c r="I197" i="1" s="1"/>
  <c r="I195" i="1" s="1"/>
  <c r="G195" i="1"/>
  <c r="G194" i="1" s="1"/>
  <c r="H194" i="1"/>
  <c r="I229" i="1" l="1"/>
  <c r="J197" i="1"/>
  <c r="J195" i="1" l="1"/>
  <c r="J229" i="1" s="1"/>
  <c r="K197" i="1"/>
  <c r="K195" i="1" s="1"/>
  <c r="K229" i="1" s="1"/>
  <c r="I194" i="1"/>
  <c r="J194" i="1" l="1"/>
  <c r="L197" i="1"/>
  <c r="L195" i="1" s="1"/>
  <c r="L229" i="1" s="1"/>
  <c r="K194" i="1"/>
  <c r="M197" i="1" l="1"/>
  <c r="M195" i="1" s="1"/>
  <c r="M229" i="1" s="1"/>
  <c r="L194" i="1"/>
  <c r="N197" i="1" l="1"/>
  <c r="N195" i="1" s="1"/>
  <c r="N229" i="1" s="1"/>
  <c r="M194" i="1"/>
  <c r="O197" i="1" l="1"/>
  <c r="O195" i="1" s="1"/>
  <c r="O229" i="1" s="1"/>
  <c r="N194" i="1"/>
  <c r="P197" i="1" l="1"/>
  <c r="P195" i="1" s="1"/>
  <c r="O194" i="1"/>
  <c r="H204" i="1"/>
  <c r="U242" i="1"/>
  <c r="G242" i="1" s="1"/>
  <c r="H221" i="1"/>
  <c r="H223" i="1" s="1"/>
  <c r="P229" i="1" l="1"/>
  <c r="P194" i="1"/>
  <c r="H206" i="1"/>
  <c r="I206" i="1" s="1"/>
  <c r="H219" i="1"/>
  <c r="I223" i="1"/>
  <c r="I221" i="1" s="1"/>
  <c r="G245" i="1"/>
  <c r="G221" i="1" s="1"/>
  <c r="G223" i="1" s="1"/>
  <c r="G204" i="1"/>
  <c r="G203" i="1" s="1"/>
  <c r="H203" i="1"/>
  <c r="J206" i="1" l="1"/>
  <c r="J223" i="1"/>
  <c r="J221" i="1" s="1"/>
  <c r="I219" i="1"/>
  <c r="G219" i="1"/>
  <c r="H220" i="1" s="1"/>
  <c r="K206" i="1" l="1"/>
  <c r="I245" i="1"/>
  <c r="I220" i="1"/>
  <c r="K223" i="1"/>
  <c r="K221" i="1" s="1"/>
  <c r="J219" i="1"/>
  <c r="L206" i="1" l="1"/>
  <c r="J245" i="1"/>
  <c r="J220" i="1"/>
  <c r="L223" i="1"/>
  <c r="L221" i="1" s="1"/>
  <c r="K219" i="1"/>
  <c r="M206" i="1" l="1"/>
  <c r="K245" i="1"/>
  <c r="K246" i="1" s="1"/>
  <c r="K220" i="1"/>
  <c r="L219" i="1"/>
  <c r="M223" i="1"/>
  <c r="M221" i="1" s="1"/>
  <c r="N206" i="1" l="1"/>
  <c r="L245" i="1"/>
  <c r="L220" i="1"/>
  <c r="M219" i="1"/>
  <c r="N223" i="1"/>
  <c r="N221" i="1" s="1"/>
  <c r="O206" i="1" l="1"/>
  <c r="M245" i="1"/>
  <c r="M220" i="1"/>
  <c r="N219" i="1"/>
  <c r="O223" i="1"/>
  <c r="O221" i="1" s="1"/>
  <c r="P206" i="1" l="1"/>
  <c r="N245" i="1"/>
  <c r="N220" i="1"/>
  <c r="O219" i="1"/>
  <c r="P223" i="1"/>
  <c r="P221" i="1" l="1"/>
  <c r="P219" i="1" s="1"/>
  <c r="O245" i="1"/>
  <c r="O220" i="1"/>
  <c r="P245" i="1" l="1"/>
  <c r="P220" i="1"/>
  <c r="I291" i="1"/>
  <c r="I309" i="1" s="1"/>
  <c r="H295" i="1"/>
  <c r="R88" i="5" l="1"/>
  <c r="Q88" i="5" s="1"/>
  <c r="P88" i="5" s="1"/>
  <c r="K106" i="5"/>
  <c r="H281" i="1"/>
  <c r="H283" i="1" s="1"/>
  <c r="K89" i="5"/>
  <c r="H372" i="1"/>
  <c r="J291" i="1" l="1"/>
  <c r="J309" i="1" s="1"/>
  <c r="I372" i="1"/>
  <c r="J369" i="1" l="1"/>
  <c r="K291" i="1" l="1"/>
  <c r="J372" i="1"/>
  <c r="K369" i="1" l="1"/>
  <c r="K309" i="1"/>
  <c r="L291" i="1"/>
  <c r="K372" i="1"/>
  <c r="L369" i="1" l="1"/>
  <c r="M291" i="1" s="1"/>
  <c r="L309" i="1"/>
  <c r="L372" i="1"/>
  <c r="M369" i="1" l="1"/>
  <c r="N291" i="1" s="1"/>
  <c r="M309" i="1"/>
  <c r="M372" i="1" l="1"/>
  <c r="N369" i="1"/>
  <c r="O291" i="1" s="1"/>
  <c r="N309" i="1"/>
  <c r="N372" i="1" l="1"/>
  <c r="O369" i="1"/>
  <c r="O309" i="1"/>
  <c r="P291" i="1"/>
  <c r="O372" i="1"/>
  <c r="P369" i="1" l="1"/>
  <c r="P372" i="1" s="1"/>
  <c r="P309" i="1"/>
  <c r="O211" i="1"/>
  <c r="O233" i="1" s="1"/>
  <c r="N211" i="1"/>
  <c r="N233" i="1" s="1"/>
  <c r="J211" i="1"/>
  <c r="J233" i="1" s="1"/>
  <c r="K211" i="1"/>
  <c r="K233" i="1" s="1"/>
  <c r="I9" i="1"/>
  <c r="I5" i="1"/>
  <c r="J5" i="1"/>
  <c r="J31" i="1" s="1"/>
  <c r="I31" i="1" l="1"/>
  <c r="R7" i="5"/>
  <c r="I35" i="1"/>
  <c r="K5" i="1"/>
  <c r="K31" i="1" s="1"/>
  <c r="R19" i="5" l="1"/>
  <c r="Q19" i="5" s="1"/>
  <c r="J204" i="1"/>
  <c r="J242" i="1" s="1"/>
  <c r="I204" i="1"/>
  <c r="I203" i="1" s="1"/>
  <c r="Q7" i="5"/>
  <c r="P7" i="5" s="1"/>
  <c r="P27" i="5" s="1"/>
  <c r="K204" i="1"/>
  <c r="K242" i="1" s="1"/>
  <c r="R13" i="5" l="1"/>
  <c r="J203" i="1"/>
  <c r="I242" i="1"/>
  <c r="P19" i="5"/>
  <c r="Q13" i="5"/>
  <c r="J228" i="1"/>
  <c r="I228" i="1"/>
  <c r="K203" i="1"/>
  <c r="L5" i="1"/>
  <c r="L31" i="1" s="1"/>
  <c r="M5" i="1"/>
  <c r="M31" i="1" s="1"/>
  <c r="F271" i="4" l="1"/>
  <c r="F273" i="4" s="1"/>
  <c r="J250" i="1"/>
  <c r="P13" i="5"/>
  <c r="P39" i="5"/>
  <c r="F331" i="4"/>
  <c r="F333" i="4" s="1"/>
  <c r="E271" i="4"/>
  <c r="E273" i="4" s="1"/>
  <c r="J260" i="1"/>
  <c r="G331" i="4"/>
  <c r="J266" i="1"/>
  <c r="K228" i="1"/>
  <c r="G271" i="4" s="1"/>
  <c r="G273" i="4" s="1"/>
  <c r="I261" i="1"/>
  <c r="I259" i="1"/>
  <c r="I258" i="1"/>
  <c r="J261" i="1"/>
  <c r="J258" i="1"/>
  <c r="J259" i="1"/>
  <c r="I260" i="1"/>
  <c r="V242" i="1"/>
  <c r="J248" i="1"/>
  <c r="M16" i="6" s="1"/>
  <c r="M204" i="1"/>
  <c r="L204" i="1"/>
  <c r="V232" i="1"/>
  <c r="V243" i="1"/>
  <c r="V239" i="1"/>
  <c r="V231" i="1"/>
  <c r="I266" i="1"/>
  <c r="I277" i="1" s="1"/>
  <c r="V238" i="1"/>
  <c r="V230" i="1"/>
  <c r="V236" i="1"/>
  <c r="V234" i="1"/>
  <c r="V241" i="1"/>
  <c r="V233" i="1"/>
  <c r="V240" i="1"/>
  <c r="V229" i="1"/>
  <c r="V237" i="1"/>
  <c r="V235" i="1"/>
  <c r="N5" i="1"/>
  <c r="N31" i="1" s="1"/>
  <c r="N204" i="1" s="1"/>
  <c r="K260" i="1" l="1"/>
  <c r="H331" i="4"/>
  <c r="K266" i="1"/>
  <c r="K288" i="1" s="1"/>
  <c r="I278" i="1"/>
  <c r="L18" i="6" s="1"/>
  <c r="J285" i="1"/>
  <c r="J277" i="1"/>
  <c r="M19" i="6"/>
  <c r="N19" i="6" s="1"/>
  <c r="N16" i="6"/>
  <c r="K250" i="1"/>
  <c r="J288" i="1"/>
  <c r="J262" i="1"/>
  <c r="K261" i="1"/>
  <c r="K258" i="1"/>
  <c r="K259" i="1"/>
  <c r="K248" i="1"/>
  <c r="J247" i="1"/>
  <c r="N242" i="1"/>
  <c r="N203" i="1"/>
  <c r="L242" i="1"/>
  <c r="L203" i="1"/>
  <c r="M242" i="1"/>
  <c r="M203" i="1"/>
  <c r="R61" i="5"/>
  <c r="Q61" i="5" s="1"/>
  <c r="P61" i="5" s="1"/>
  <c r="I267" i="1"/>
  <c r="I288" i="1"/>
  <c r="R85" i="5" s="1"/>
  <c r="I253" i="1"/>
  <c r="I285" i="1"/>
  <c r="J267" i="1"/>
  <c r="O5" i="1"/>
  <c r="O31" i="1" s="1"/>
  <c r="O204" i="1" s="1"/>
  <c r="K267" i="1" l="1"/>
  <c r="K277" i="1"/>
  <c r="K278" i="1" s="1"/>
  <c r="E13" i="6"/>
  <c r="I297" i="1"/>
  <c r="K285" i="1"/>
  <c r="K295" i="1" s="1"/>
  <c r="K281" i="1" s="1"/>
  <c r="K283" i="1" s="1"/>
  <c r="J295" i="1"/>
  <c r="J281" i="1" s="1"/>
  <c r="J283" i="1" s="1"/>
  <c r="F337" i="4"/>
  <c r="J268" i="1"/>
  <c r="J300" i="1" s="1"/>
  <c r="F15" i="6" s="1"/>
  <c r="G332" i="4"/>
  <c r="G333" i="4" s="1"/>
  <c r="G337" i="4"/>
  <c r="J278" i="1"/>
  <c r="M18" i="6" s="1"/>
  <c r="N18" i="6" s="1"/>
  <c r="N15" i="6"/>
  <c r="K262" i="1"/>
  <c r="N228" i="1"/>
  <c r="J271" i="4" s="1"/>
  <c r="J273" i="4" s="1"/>
  <c r="L248" i="1"/>
  <c r="K247" i="1"/>
  <c r="R82" i="5"/>
  <c r="I295" i="1"/>
  <c r="I281" i="1" s="1"/>
  <c r="I283" i="1" s="1"/>
  <c r="Q85" i="5"/>
  <c r="R86" i="5"/>
  <c r="O242" i="1"/>
  <c r="O203" i="1"/>
  <c r="R57" i="5"/>
  <c r="I254" i="1"/>
  <c r="F334" i="4" s="1"/>
  <c r="I271" i="1"/>
  <c r="I347" i="1"/>
  <c r="P5" i="1"/>
  <c r="P31" i="1" s="1"/>
  <c r="P204" i="1" s="1"/>
  <c r="Q86" i="5" l="1"/>
  <c r="P85" i="5"/>
  <c r="P86" i="5" s="1"/>
  <c r="H337" i="4"/>
  <c r="C247" i="8"/>
  <c r="J269" i="1"/>
  <c r="E14" i="6"/>
  <c r="J253" i="1"/>
  <c r="J301" i="1"/>
  <c r="G338" i="4"/>
  <c r="N260" i="1"/>
  <c r="K331" i="4"/>
  <c r="K268" i="1"/>
  <c r="K300" i="1" s="1"/>
  <c r="H332" i="4"/>
  <c r="H333" i="4" s="1"/>
  <c r="N250" i="1"/>
  <c r="N266" i="1"/>
  <c r="N261" i="1"/>
  <c r="N258" i="1"/>
  <c r="N259" i="1"/>
  <c r="O228" i="1"/>
  <c r="K271" i="4" s="1"/>
  <c r="K273" i="4" s="1"/>
  <c r="L247" i="1"/>
  <c r="R83" i="5"/>
  <c r="Q82" i="5"/>
  <c r="P242" i="1"/>
  <c r="P203" i="1"/>
  <c r="I303" i="1"/>
  <c r="I298" i="1"/>
  <c r="R93" i="5"/>
  <c r="I272" i="1"/>
  <c r="Q57" i="5"/>
  <c r="P57" i="5" s="1"/>
  <c r="R151" i="5"/>
  <c r="R89" i="5"/>
  <c r="F13" i="6" l="1"/>
  <c r="G13" i="6" s="1"/>
  <c r="B157" i="8"/>
  <c r="C157" i="8" s="1"/>
  <c r="D157" i="8" s="1"/>
  <c r="E157" i="8" s="1"/>
  <c r="F157" i="8" s="1"/>
  <c r="Q83" i="5"/>
  <c r="P82" i="5"/>
  <c r="P59" i="5"/>
  <c r="P58" i="5"/>
  <c r="J254" i="1"/>
  <c r="G334" i="4" s="1"/>
  <c r="J297" i="1"/>
  <c r="J271" i="1"/>
  <c r="J272" i="1" s="1"/>
  <c r="J347" i="1"/>
  <c r="I304" i="1"/>
  <c r="J362" i="4"/>
  <c r="I362" i="4"/>
  <c r="L362" i="4"/>
  <c r="K362" i="4"/>
  <c r="M362" i="4"/>
  <c r="H362" i="4"/>
  <c r="G362" i="4"/>
  <c r="F362" i="4"/>
  <c r="E362" i="4"/>
  <c r="I307" i="1"/>
  <c r="E287" i="4" s="1"/>
  <c r="E289" i="4" s="1"/>
  <c r="E16" i="6"/>
  <c r="K253" i="1"/>
  <c r="K269" i="1"/>
  <c r="I355" i="1"/>
  <c r="I357" i="1" s="1"/>
  <c r="K301" i="1"/>
  <c r="H338" i="4"/>
  <c r="F339" i="4"/>
  <c r="L268" i="1"/>
  <c r="L269" i="1" s="1"/>
  <c r="I332" i="4"/>
  <c r="O266" i="1"/>
  <c r="O277" i="1" s="1"/>
  <c r="O278" i="1" s="1"/>
  <c r="L331" i="4"/>
  <c r="N285" i="1"/>
  <c r="N277" i="1"/>
  <c r="N278" i="1" s="1"/>
  <c r="I306" i="1"/>
  <c r="I348" i="1"/>
  <c r="N288" i="1"/>
  <c r="N262" i="1"/>
  <c r="O261" i="1"/>
  <c r="O258" i="1"/>
  <c r="O259" i="1"/>
  <c r="O250" i="1"/>
  <c r="O260" i="1"/>
  <c r="R94" i="5"/>
  <c r="Q93" i="5"/>
  <c r="Q106" i="5" s="1"/>
  <c r="Q151" i="5"/>
  <c r="Q89" i="5"/>
  <c r="I305" i="1"/>
  <c r="R99" i="5"/>
  <c r="R101" i="5" s="1"/>
  <c r="R106" i="5" l="1"/>
  <c r="I325" i="1"/>
  <c r="I334" i="1" s="1"/>
  <c r="K271" i="1"/>
  <c r="K272" i="1"/>
  <c r="P89" i="5"/>
  <c r="P83" i="5"/>
  <c r="Q94" i="5"/>
  <c r="P93" i="5"/>
  <c r="P106" i="5" s="1"/>
  <c r="J298" i="1"/>
  <c r="J303" i="1"/>
  <c r="D247" i="8"/>
  <c r="F14" i="6"/>
  <c r="G14" i="6" s="1"/>
  <c r="K347" i="1"/>
  <c r="K254" i="1"/>
  <c r="H334" i="4" s="1"/>
  <c r="K297" i="1"/>
  <c r="E247" i="8" s="1"/>
  <c r="O285" i="1"/>
  <c r="E290" i="4"/>
  <c r="N295" i="1"/>
  <c r="N281" i="1" s="1"/>
  <c r="N283" i="1" s="1"/>
  <c r="E298" i="4"/>
  <c r="I356" i="1"/>
  <c r="O267" i="1"/>
  <c r="O288" i="1"/>
  <c r="K337" i="4"/>
  <c r="F346" i="4"/>
  <c r="F340" i="4"/>
  <c r="L300" i="1"/>
  <c r="O262" i="1"/>
  <c r="R100" i="5"/>
  <c r="Q99" i="5"/>
  <c r="B172" i="8" l="1"/>
  <c r="C172" i="8" s="1"/>
  <c r="D172" i="8" s="1"/>
  <c r="E172" i="8" s="1"/>
  <c r="F172" i="8" s="1"/>
  <c r="P94" i="5"/>
  <c r="P99" i="5"/>
  <c r="P96" i="5" s="1"/>
  <c r="Q101" i="5"/>
  <c r="F16" i="6"/>
  <c r="G16" i="6" s="1"/>
  <c r="J355" i="1"/>
  <c r="J357" i="1" s="1"/>
  <c r="F298" i="4" s="1"/>
  <c r="G339" i="4"/>
  <c r="G346" i="4" s="1"/>
  <c r="J304" i="1"/>
  <c r="J348" i="1"/>
  <c r="J307" i="1"/>
  <c r="F287" i="4" s="1"/>
  <c r="F289" i="4" s="1"/>
  <c r="J306" i="1"/>
  <c r="J305" i="1"/>
  <c r="K298" i="1"/>
  <c r="K303" i="1"/>
  <c r="L337" i="4"/>
  <c r="O295" i="1"/>
  <c r="O281" i="1" s="1"/>
  <c r="O283" i="1" s="1"/>
  <c r="E306" i="4"/>
  <c r="E308" i="4" s="1"/>
  <c r="E300" i="4"/>
  <c r="E293" i="4"/>
  <c r="E295" i="4" s="1"/>
  <c r="E301" i="4"/>
  <c r="L301" i="1"/>
  <c r="I338" i="4"/>
  <c r="Q96" i="5"/>
  <c r="Q100" i="5"/>
  <c r="AK65" i="4" l="1"/>
  <c r="P100" i="5"/>
  <c r="P101" i="5"/>
  <c r="K306" i="1"/>
  <c r="J356" i="1"/>
  <c r="F290" i="4"/>
  <c r="H339" i="4"/>
  <c r="H346" i="4" s="1"/>
  <c r="G340" i="4"/>
  <c r="K305" i="1"/>
  <c r="K355" i="1"/>
  <c r="K357" i="1" s="1"/>
  <c r="G298" i="4" s="1"/>
  <c r="K307" i="1"/>
  <c r="G287" i="4" s="1"/>
  <c r="G289" i="4" s="1"/>
  <c r="K304" i="1"/>
  <c r="K348" i="1"/>
  <c r="F306" i="4"/>
  <c r="F308" i="4" s="1"/>
  <c r="F300" i="4"/>
  <c r="F293" i="4"/>
  <c r="F295" i="4" s="1"/>
  <c r="F301" i="4"/>
  <c r="H341" i="1"/>
  <c r="K129" i="5" s="1"/>
  <c r="J129" i="5" s="1"/>
  <c r="I341" i="1"/>
  <c r="H385" i="1"/>
  <c r="H387" i="1" s="1"/>
  <c r="K356" i="1" l="1"/>
  <c r="H340" i="4"/>
  <c r="G290" i="4"/>
  <c r="G306" i="4"/>
  <c r="G308" i="4" s="1"/>
  <c r="G300" i="4"/>
  <c r="G293" i="4"/>
  <c r="G295" i="4" s="1"/>
  <c r="G301" i="4"/>
  <c r="I385" i="1"/>
  <c r="I387" i="1" s="1"/>
  <c r="J381" i="1"/>
  <c r="K381" i="1" s="1"/>
  <c r="R129" i="5"/>
  <c r="Q129" i="5" s="1"/>
  <c r="J341" i="1" l="1"/>
  <c r="J385" i="1"/>
  <c r="J387" i="1" s="1"/>
  <c r="K341" i="1"/>
  <c r="L381" i="1"/>
  <c r="K385" i="1"/>
  <c r="K387" i="1" s="1"/>
  <c r="M381" i="1" l="1"/>
  <c r="L385" i="1"/>
  <c r="L387" i="1" s="1"/>
  <c r="L341" i="1"/>
  <c r="M341" i="1" l="1"/>
  <c r="N381" i="1"/>
  <c r="M385" i="1"/>
  <c r="M387" i="1" s="1"/>
  <c r="N341" i="1" l="1"/>
  <c r="O381" i="1"/>
  <c r="N385" i="1"/>
  <c r="N387" i="1" s="1"/>
  <c r="O341" i="1" l="1"/>
  <c r="P381" i="1"/>
  <c r="O385" i="1"/>
  <c r="O387" i="1" s="1"/>
  <c r="P341" i="1" l="1"/>
  <c r="P385" i="1"/>
  <c r="P387" i="1" s="1"/>
  <c r="G15" i="6" l="1"/>
  <c r="G406" i="1" l="1"/>
  <c r="G427" i="1" s="1"/>
  <c r="J10" i="6" s="1"/>
  <c r="H406" i="1"/>
  <c r="D5" i="6" s="1"/>
  <c r="I406" i="1"/>
  <c r="E5" i="6" s="1"/>
  <c r="J406" i="1"/>
  <c r="F5" i="6" s="1"/>
  <c r="K406" i="1"/>
  <c r="L406" i="1"/>
  <c r="M406" i="1"/>
  <c r="N406" i="1"/>
  <c r="O406" i="1"/>
  <c r="P406" i="1"/>
  <c r="C3" i="6"/>
  <c r="C5" i="6" l="1"/>
  <c r="G426" i="1"/>
  <c r="J9" i="6" s="1"/>
  <c r="F348" i="4" l="1"/>
  <c r="R108" i="5"/>
  <c r="E18" i="6"/>
  <c r="R116" i="5" l="1"/>
  <c r="I328" i="1"/>
  <c r="F349" i="4"/>
  <c r="F350" i="4" s="1"/>
  <c r="I402" i="1"/>
  <c r="I359" i="1"/>
  <c r="R109" i="5"/>
  <c r="Q108" i="5"/>
  <c r="Q116" i="5" s="1"/>
  <c r="R118" i="5"/>
  <c r="E19" i="6" l="1"/>
  <c r="I427" i="1"/>
  <c r="L10" i="6" s="1"/>
  <c r="E20" i="6"/>
  <c r="R144" i="5"/>
  <c r="Q144" i="5" s="1"/>
  <c r="R119" i="5"/>
  <c r="Q118" i="5"/>
  <c r="P118" i="5" s="1"/>
  <c r="Q109" i="5"/>
  <c r="P108" i="5"/>
  <c r="P109" i="5" s="1"/>
  <c r="R125" i="5"/>
  <c r="Q125" i="5" s="1"/>
  <c r="P125" i="5" s="1"/>
  <c r="R123" i="5"/>
  <c r="R126" i="5" l="1"/>
  <c r="Q123" i="5"/>
  <c r="Q126" i="5" s="1"/>
  <c r="P116" i="5"/>
  <c r="Q119" i="5"/>
  <c r="I337" i="1"/>
  <c r="I338" i="1" s="1"/>
  <c r="I426" i="1" s="1"/>
  <c r="L9" i="6" s="1"/>
  <c r="E348" i="4"/>
  <c r="K108" i="5"/>
  <c r="K109" i="5" s="1"/>
  <c r="H325" i="1"/>
  <c r="D18" i="6"/>
  <c r="P123" i="5" l="1"/>
  <c r="P126" i="5" s="1"/>
  <c r="P119" i="5"/>
  <c r="J108" i="5"/>
  <c r="K116" i="5"/>
  <c r="H328" i="1"/>
  <c r="K118" i="5"/>
  <c r="E349" i="4" l="1"/>
  <c r="E350" i="4" s="1"/>
  <c r="D19" i="6"/>
  <c r="H359" i="1"/>
  <c r="H334" i="1"/>
  <c r="H402" i="1"/>
  <c r="J118" i="5"/>
  <c r="K119" i="5"/>
  <c r="K144" i="5" l="1"/>
  <c r="H427" i="1"/>
  <c r="K10" i="6" s="1"/>
  <c r="D20" i="6"/>
  <c r="K123" i="5"/>
  <c r="H336" i="1"/>
  <c r="K125" i="5" s="1"/>
  <c r="J125" i="5" s="1"/>
  <c r="H337" i="1" l="1"/>
  <c r="K126" i="5"/>
  <c r="H342" i="1"/>
  <c r="K130" i="5" l="1"/>
  <c r="J130" i="5" s="1"/>
  <c r="H340" i="1"/>
  <c r="I342" i="1"/>
  <c r="H338" i="1"/>
  <c r="H426" i="1" s="1"/>
  <c r="K9" i="6" s="1"/>
  <c r="H367" i="1" l="1"/>
  <c r="H374" i="1" s="1"/>
  <c r="H391" i="1" s="1"/>
  <c r="I389" i="1"/>
  <c r="I366" i="1" s="1"/>
  <c r="I367" i="1" s="1"/>
  <c r="I374" i="1" s="1"/>
  <c r="I391" i="1" s="1"/>
  <c r="E354" i="4"/>
  <c r="E356" i="4" s="1"/>
  <c r="H344" i="1"/>
  <c r="K128" i="5"/>
  <c r="J128" i="5" s="1"/>
  <c r="H407" i="1"/>
  <c r="D7" i="6" s="1"/>
  <c r="H314" i="1"/>
  <c r="H313" i="1" s="1"/>
  <c r="H429" i="1" s="1"/>
  <c r="C51" i="3" s="1"/>
  <c r="H312" i="1"/>
  <c r="I340" i="1"/>
  <c r="I312" i="1" s="1"/>
  <c r="R130" i="5"/>
  <c r="Q130" i="5" s="1"/>
  <c r="I314" i="1" l="1"/>
  <c r="I313" i="1" s="1"/>
  <c r="I429" i="1" s="1"/>
  <c r="D51" i="3" s="1"/>
  <c r="I344" i="1"/>
  <c r="R128" i="5"/>
  <c r="Q128" i="5" s="1"/>
  <c r="I407" i="1"/>
  <c r="F354" i="4"/>
  <c r="F356" i="4" s="1"/>
  <c r="E363" i="4"/>
  <c r="F363" i="4" s="1"/>
  <c r="G363" i="4" s="1"/>
  <c r="H363" i="4" s="1"/>
  <c r="I363" i="4" s="1"/>
  <c r="B152" i="8" l="1"/>
  <c r="C152" i="8" s="1"/>
  <c r="D152" i="8" s="1"/>
  <c r="E152" i="8" s="1"/>
  <c r="F152" i="8" s="1"/>
  <c r="E7" i="6"/>
  <c r="J363" i="4"/>
  <c r="K363" i="4" l="1"/>
  <c r="L363" i="4" l="1"/>
  <c r="M363" i="4" l="1"/>
  <c r="M211" i="1"/>
  <c r="M233" i="1" s="1"/>
  <c r="P211" i="1"/>
  <c r="P233" i="1" s="1"/>
  <c r="L211" i="1"/>
  <c r="L233" i="1" s="1"/>
  <c r="I6" i="1"/>
  <c r="R8" i="5" s="1"/>
  <c r="Q8" i="5" s="1"/>
  <c r="P8" i="5" s="1"/>
  <c r="P28" i="5" s="1"/>
  <c r="J6" i="1"/>
  <c r="J32" i="1" s="1"/>
  <c r="V18" i="1"/>
  <c r="I18" i="1" s="1"/>
  <c r="M228" i="1" l="1"/>
  <c r="M259" i="1" s="1"/>
  <c r="P228" i="1"/>
  <c r="P259" i="1" s="1"/>
  <c r="L228" i="1"/>
  <c r="L259" i="1" s="1"/>
  <c r="I32" i="1"/>
  <c r="R20" i="5" s="1"/>
  <c r="R14" i="5" s="1"/>
  <c r="R6" i="5"/>
  <c r="I44" i="1"/>
  <c r="R18" i="5" l="1"/>
  <c r="R16" i="5" s="1"/>
  <c r="Q20" i="5"/>
  <c r="Q14" i="5" s="1"/>
  <c r="H271" i="4"/>
  <c r="H273" i="4" s="1"/>
  <c r="I331" i="4"/>
  <c r="I333" i="4" s="1"/>
  <c r="L250" i="1"/>
  <c r="M248" i="1" s="1"/>
  <c r="L258" i="1"/>
  <c r="L261" i="1"/>
  <c r="L266" i="1"/>
  <c r="L260" i="1"/>
  <c r="L271" i="4"/>
  <c r="M331" i="4"/>
  <c r="P250" i="1"/>
  <c r="P261" i="1"/>
  <c r="P260" i="1"/>
  <c r="P258" i="1"/>
  <c r="P266" i="1"/>
  <c r="I48" i="1"/>
  <c r="I257" i="1" s="1"/>
  <c r="I262" i="1" s="1"/>
  <c r="I263" i="1" s="1"/>
  <c r="I264" i="1" s="1"/>
  <c r="I271" i="4"/>
  <c r="I273" i="4" s="1"/>
  <c r="M250" i="1"/>
  <c r="M266" i="1"/>
  <c r="M260" i="1"/>
  <c r="M261" i="1"/>
  <c r="J331" i="4"/>
  <c r="M258" i="1"/>
  <c r="K6" i="1"/>
  <c r="K32" i="1" s="1"/>
  <c r="R4" i="5"/>
  <c r="Q6" i="5"/>
  <c r="R12" i="5" l="1"/>
  <c r="Q18" i="5"/>
  <c r="Q16" i="5" s="1"/>
  <c r="M262" i="1"/>
  <c r="P20" i="5"/>
  <c r="P14" i="5" s="1"/>
  <c r="P262" i="1"/>
  <c r="L273" i="4"/>
  <c r="M271" i="4"/>
  <c r="P277" i="1"/>
  <c r="P278" i="1" s="1"/>
  <c r="P285" i="1"/>
  <c r="P267" i="1"/>
  <c r="P288" i="1"/>
  <c r="L262" i="1"/>
  <c r="N248" i="1"/>
  <c r="M247" i="1"/>
  <c r="L277" i="1"/>
  <c r="L278" i="1" s="1"/>
  <c r="L288" i="1"/>
  <c r="L267" i="1"/>
  <c r="L285" i="1"/>
  <c r="L253" i="1"/>
  <c r="M285" i="1"/>
  <c r="M267" i="1"/>
  <c r="N267" i="1"/>
  <c r="M277" i="1"/>
  <c r="M278" i="1" s="1"/>
  <c r="M288" i="1"/>
  <c r="J263" i="1"/>
  <c r="K263" i="1" s="1"/>
  <c r="Q4" i="5"/>
  <c r="P6" i="5"/>
  <c r="Q12" i="5"/>
  <c r="P18" i="5"/>
  <c r="L6" i="1"/>
  <c r="L32" i="1" s="1"/>
  <c r="R10" i="5"/>
  <c r="P40" i="5" l="1"/>
  <c r="J264" i="1"/>
  <c r="M295" i="1"/>
  <c r="M281" i="1" s="1"/>
  <c r="M283" i="1" s="1"/>
  <c r="J337" i="4"/>
  <c r="P295" i="1"/>
  <c r="P281" i="1" s="1"/>
  <c r="P283" i="1" s="1"/>
  <c r="M337" i="4"/>
  <c r="M268" i="1"/>
  <c r="J332" i="4"/>
  <c r="J333" i="4" s="1"/>
  <c r="L271" i="1"/>
  <c r="L272" i="1" s="1"/>
  <c r="L347" i="1"/>
  <c r="L254" i="1"/>
  <c r="I334" i="4" s="1"/>
  <c r="L297" i="1"/>
  <c r="L295" i="1"/>
  <c r="L281" i="1" s="1"/>
  <c r="L283" i="1" s="1"/>
  <c r="I337" i="4"/>
  <c r="O248" i="1"/>
  <c r="N247" i="1"/>
  <c r="Q10" i="5"/>
  <c r="K264" i="1"/>
  <c r="L263" i="1"/>
  <c r="D55" i="4"/>
  <c r="E55" i="4"/>
  <c r="P26" i="5"/>
  <c r="P4" i="5"/>
  <c r="P24" i="5" s="1"/>
  <c r="P16" i="5"/>
  <c r="P12" i="5"/>
  <c r="P38" i="5"/>
  <c r="P36" i="5" s="1"/>
  <c r="M6" i="1"/>
  <c r="M32" i="1" s="1"/>
  <c r="K332" i="4" l="1"/>
  <c r="K333" i="4" s="1"/>
  <c r="N268" i="1"/>
  <c r="M269" i="1"/>
  <c r="M300" i="1"/>
  <c r="M253" i="1"/>
  <c r="L298" i="1"/>
  <c r="F247" i="8"/>
  <c r="L303" i="1"/>
  <c r="O247" i="1"/>
  <c r="P248" i="1"/>
  <c r="P247" i="1" s="1"/>
  <c r="P10" i="5"/>
  <c r="P42" i="5"/>
  <c r="N6" i="1"/>
  <c r="N32" i="1" s="1"/>
  <c r="M263" i="1"/>
  <c r="H52" i="4"/>
  <c r="I52" i="4"/>
  <c r="L50" i="4" s="1"/>
  <c r="M301" i="1" l="1"/>
  <c r="J338" i="4"/>
  <c r="L307" i="1"/>
  <c r="H287" i="4" s="1"/>
  <c r="L355" i="1"/>
  <c r="L306" i="1"/>
  <c r="L264" i="1" s="1"/>
  <c r="L348" i="1"/>
  <c r="L305" i="1"/>
  <c r="L304" i="1"/>
  <c r="I339" i="4"/>
  <c r="P268" i="1"/>
  <c r="M332" i="4"/>
  <c r="M333" i="4" s="1"/>
  <c r="N300" i="1"/>
  <c r="N253" i="1"/>
  <c r="N269" i="1"/>
  <c r="M254" i="1"/>
  <c r="J334" i="4" s="1"/>
  <c r="M347" i="1"/>
  <c r="M271" i="1"/>
  <c r="M272" i="1" s="1"/>
  <c r="M297" i="1"/>
  <c r="O268" i="1"/>
  <c r="L332" i="4"/>
  <c r="L333" i="4" s="1"/>
  <c r="O6" i="1"/>
  <c r="O32" i="1" s="1"/>
  <c r="N263" i="1"/>
  <c r="N271" i="1" l="1"/>
  <c r="N272" i="1" s="1"/>
  <c r="N297" i="1"/>
  <c r="N254" i="1"/>
  <c r="K334" i="4" s="1"/>
  <c r="N347" i="1"/>
  <c r="H289" i="4"/>
  <c r="H290" i="4"/>
  <c r="K338" i="4"/>
  <c r="N301" i="1"/>
  <c r="L357" i="1"/>
  <c r="H298" i="4" s="1"/>
  <c r="H293" i="4" s="1"/>
  <c r="H295" i="4" s="1"/>
  <c r="L356" i="1"/>
  <c r="O269" i="1"/>
  <c r="O300" i="1"/>
  <c r="O253" i="1"/>
  <c r="M298" i="1"/>
  <c r="M303" i="1"/>
  <c r="G247" i="8"/>
  <c r="P300" i="1"/>
  <c r="P269" i="1"/>
  <c r="P253" i="1"/>
  <c r="I346" i="4"/>
  <c r="I340" i="4"/>
  <c r="O263" i="1"/>
  <c r="P6" i="1"/>
  <c r="P32" i="1" s="1"/>
  <c r="M307" i="1" l="1"/>
  <c r="I287" i="4" s="1"/>
  <c r="M348" i="1"/>
  <c r="M306" i="1"/>
  <c r="M264" i="1" s="1"/>
  <c r="M304" i="1"/>
  <c r="J339" i="4"/>
  <c r="M355" i="1"/>
  <c r="M305" i="1"/>
  <c r="L338" i="4"/>
  <c r="O301" i="1"/>
  <c r="P347" i="1"/>
  <c r="P297" i="1"/>
  <c r="P271" i="1"/>
  <c r="P254" i="1"/>
  <c r="M334" i="4" s="1"/>
  <c r="H301" i="4"/>
  <c r="H306" i="4"/>
  <c r="H308" i="4" s="1"/>
  <c r="H300" i="4"/>
  <c r="N298" i="1"/>
  <c r="N303" i="1"/>
  <c r="H247" i="8"/>
  <c r="O254" i="1"/>
  <c r="L334" i="4" s="1"/>
  <c r="O297" i="1"/>
  <c r="O347" i="1"/>
  <c r="O271" i="1"/>
  <c r="O272" i="1" s="1"/>
  <c r="M338" i="4"/>
  <c r="P301" i="1"/>
  <c r="P263" i="1"/>
  <c r="J9" i="1"/>
  <c r="J35" i="1" s="1"/>
  <c r="W18" i="1"/>
  <c r="J18" i="1" s="1"/>
  <c r="J44" i="1" s="1"/>
  <c r="K9" i="1"/>
  <c r="K35" i="1" s="1"/>
  <c r="L9" i="1"/>
  <c r="L35" i="1" s="1"/>
  <c r="M9" i="1"/>
  <c r="M35" i="1" s="1"/>
  <c r="N9" i="1"/>
  <c r="N35" i="1" s="1"/>
  <c r="O9" i="1"/>
  <c r="P9" i="1"/>
  <c r="P35" i="1" s="1"/>
  <c r="X18" i="1"/>
  <c r="K18" i="1" s="1"/>
  <c r="K44" i="1" s="1"/>
  <c r="Y18" i="1"/>
  <c r="L18" i="1" s="1"/>
  <c r="L44" i="1" s="1"/>
  <c r="Z18" i="1"/>
  <c r="M18" i="1" s="1"/>
  <c r="M44" i="1" s="1"/>
  <c r="AA18" i="1"/>
  <c r="N18" i="1" s="1"/>
  <c r="N44" i="1" s="1"/>
  <c r="AB18" i="1"/>
  <c r="O18" i="1" s="1"/>
  <c r="O44" i="1" s="1"/>
  <c r="AC18" i="1"/>
  <c r="P18" i="1" s="1"/>
  <c r="P44" i="1" s="1"/>
  <c r="O35" i="1"/>
  <c r="M356" i="1" l="1"/>
  <c r="M357" i="1"/>
  <c r="I298" i="4" s="1"/>
  <c r="O303" i="1"/>
  <c r="I247" i="8"/>
  <c r="O298" i="1"/>
  <c r="J340" i="4"/>
  <c r="J346" i="4"/>
  <c r="P272" i="1"/>
  <c r="P303" i="1"/>
  <c r="J247" i="8"/>
  <c r="P298" i="1"/>
  <c r="N305" i="1"/>
  <c r="N304" i="1"/>
  <c r="N306" i="1"/>
  <c r="N264" i="1" s="1"/>
  <c r="N307" i="1"/>
  <c r="J287" i="4" s="1"/>
  <c r="N348" i="1"/>
  <c r="K339" i="4"/>
  <c r="N355" i="1"/>
  <c r="I289" i="4"/>
  <c r="I290" i="4"/>
  <c r="O306" i="1" l="1"/>
  <c r="O264" i="1" s="1"/>
  <c r="O305" i="1"/>
  <c r="O304" i="1"/>
  <c r="O307" i="1"/>
  <c r="K287" i="4" s="1"/>
  <c r="O355" i="1"/>
  <c r="O348" i="1"/>
  <c r="L339" i="4"/>
  <c r="J289" i="4"/>
  <c r="J290" i="4"/>
  <c r="I293" i="4"/>
  <c r="I295" i="4" s="1"/>
  <c r="I306" i="4"/>
  <c r="I308" i="4" s="1"/>
  <c r="I301" i="4"/>
  <c r="I300" i="4"/>
  <c r="N357" i="1"/>
  <c r="J298" i="4" s="1"/>
  <c r="J293" i="4" s="1"/>
  <c r="J295" i="4" s="1"/>
  <c r="N356" i="1"/>
  <c r="K346" i="4"/>
  <c r="K340" i="4"/>
  <c r="M339" i="4"/>
  <c r="P306" i="1"/>
  <c r="P264" i="1" s="1"/>
  <c r="P304" i="1"/>
  <c r="P305" i="1"/>
  <c r="P307" i="1"/>
  <c r="L287" i="4" s="1"/>
  <c r="P348" i="1"/>
  <c r="P355" i="1"/>
  <c r="L289" i="4" l="1"/>
  <c r="L290" i="4"/>
  <c r="M287" i="4"/>
  <c r="K289" i="4"/>
  <c r="K290" i="4"/>
  <c r="M346" i="4"/>
  <c r="M340" i="4"/>
  <c r="P357" i="1"/>
  <c r="L298" i="4" s="1"/>
  <c r="P356" i="1"/>
  <c r="O357" i="1"/>
  <c r="K298" i="4" s="1"/>
  <c r="O356" i="1"/>
  <c r="J301" i="4"/>
  <c r="J306" i="4"/>
  <c r="J308" i="4" s="1"/>
  <c r="J300" i="4"/>
  <c r="L346" i="4"/>
  <c r="L340" i="4"/>
  <c r="L301" i="4" l="1"/>
  <c r="L306" i="4"/>
  <c r="L308" i="4" s="1"/>
  <c r="L300" i="4"/>
  <c r="K306" i="4"/>
  <c r="K308" i="4" s="1"/>
  <c r="K300" i="4"/>
  <c r="K301" i="4"/>
  <c r="K293" i="4"/>
  <c r="K295" i="4" s="1"/>
  <c r="L293" i="4"/>
  <c r="L295" i="4" s="1"/>
  <c r="G88" i="5"/>
  <c r="G85" i="5"/>
  <c r="G86" i="5" s="1"/>
  <c r="J86" i="5"/>
  <c r="G82" i="5"/>
  <c r="J83" i="5"/>
  <c r="G83" i="5" l="1"/>
  <c r="G89" i="5"/>
  <c r="J89" i="5" l="1"/>
  <c r="G106" i="5"/>
  <c r="G109" i="5" l="1"/>
  <c r="G116" i="5"/>
  <c r="J106" i="5"/>
  <c r="J109" i="5" s="1"/>
  <c r="J116" i="5" l="1"/>
  <c r="J119" i="5" s="1"/>
  <c r="G119" i="5"/>
  <c r="G123" i="5"/>
  <c r="G126" i="5" l="1"/>
  <c r="J123" i="5"/>
  <c r="J126" i="5" s="1"/>
  <c r="M50" i="4" l="1"/>
  <c r="N50" i="4"/>
  <c r="AL65" i="4"/>
  <c r="G348" i="4"/>
  <c r="H348" i="4"/>
  <c r="I348" i="4"/>
  <c r="J348" i="4"/>
  <c r="K348" i="4"/>
  <c r="L348" i="4"/>
  <c r="M348" i="4"/>
  <c r="G349" i="4"/>
  <c r="H349" i="4"/>
  <c r="I349" i="4"/>
  <c r="J349" i="4"/>
  <c r="K349" i="4"/>
  <c r="L349" i="4"/>
  <c r="M349" i="4"/>
  <c r="G350" i="4"/>
  <c r="H350" i="4"/>
  <c r="I350" i="4"/>
  <c r="J350" i="4"/>
  <c r="K350" i="4"/>
  <c r="L350" i="4"/>
  <c r="M350" i="4"/>
  <c r="G354" i="4"/>
  <c r="H354" i="4"/>
  <c r="I354" i="4"/>
  <c r="J354" i="4"/>
  <c r="K354" i="4"/>
  <c r="L354" i="4"/>
  <c r="M354" i="4"/>
  <c r="G356" i="4"/>
  <c r="H356" i="4"/>
  <c r="I356" i="4"/>
  <c r="J356" i="4"/>
  <c r="K356" i="4"/>
  <c r="L356" i="4"/>
  <c r="M356" i="4"/>
  <c r="E364" i="4"/>
  <c r="F364" i="4"/>
  <c r="G364" i="4"/>
  <c r="H364" i="4"/>
  <c r="I364" i="4"/>
  <c r="J364" i="4"/>
  <c r="K364" i="4"/>
  <c r="L364" i="4"/>
  <c r="M364" i="4"/>
  <c r="E365" i="4"/>
  <c r="F365" i="4"/>
  <c r="G365" i="4"/>
  <c r="H365" i="4"/>
  <c r="I365" i="4"/>
  <c r="J365" i="4"/>
  <c r="K365" i="4"/>
  <c r="L365" i="4"/>
  <c r="M365" i="4"/>
  <c r="E367" i="4"/>
  <c r="F367" i="4"/>
  <c r="G367" i="4"/>
  <c r="H367" i="4"/>
  <c r="I367" i="4"/>
  <c r="J367" i="4"/>
  <c r="K367" i="4"/>
  <c r="L367" i="4"/>
  <c r="M367" i="4"/>
  <c r="G93" i="5"/>
  <c r="J93" i="5"/>
  <c r="AC93" i="5"/>
  <c r="G94" i="5"/>
  <c r="J94" i="5"/>
  <c r="AC94" i="5"/>
  <c r="G96" i="5"/>
  <c r="J96" i="5"/>
  <c r="AC96" i="5"/>
  <c r="G99" i="5"/>
  <c r="J99" i="5"/>
  <c r="AC99" i="5"/>
  <c r="G100" i="5"/>
  <c r="J100" i="5"/>
  <c r="AC100" i="5"/>
  <c r="G101" i="5"/>
  <c r="J101" i="5"/>
  <c r="G102" i="5"/>
  <c r="G144" i="5"/>
  <c r="J144" i="5"/>
  <c r="Q1" i="1"/>
  <c r="J311" i="1"/>
  <c r="K311" i="1"/>
  <c r="L311" i="1"/>
  <c r="M311" i="1"/>
  <c r="N311" i="1"/>
  <c r="O311" i="1"/>
  <c r="P311" i="1"/>
  <c r="J313" i="1"/>
  <c r="K313" i="1"/>
  <c r="L313" i="1"/>
  <c r="M313" i="1"/>
  <c r="N313" i="1"/>
  <c r="O313" i="1"/>
  <c r="P313" i="1"/>
  <c r="J314" i="1"/>
  <c r="K314" i="1"/>
  <c r="L314" i="1"/>
  <c r="M314" i="1"/>
  <c r="N314" i="1"/>
  <c r="O314" i="1"/>
  <c r="P314" i="1"/>
  <c r="J325" i="1"/>
  <c r="K325" i="1"/>
  <c r="L325" i="1"/>
  <c r="M325" i="1"/>
  <c r="N325" i="1"/>
  <c r="O325" i="1"/>
  <c r="P325" i="1"/>
  <c r="J327" i="1"/>
  <c r="K327" i="1"/>
  <c r="L327" i="1"/>
  <c r="M327" i="1"/>
  <c r="N327" i="1"/>
  <c r="O327" i="1"/>
  <c r="P327" i="1"/>
  <c r="J334" i="1"/>
  <c r="K334" i="1"/>
  <c r="L334" i="1"/>
  <c r="M334" i="1"/>
  <c r="N334" i="1"/>
  <c r="O334" i="1"/>
  <c r="P334" i="1"/>
  <c r="J336" i="1"/>
  <c r="K336" i="1"/>
  <c r="L336" i="1"/>
  <c r="M336" i="1"/>
  <c r="N336" i="1"/>
  <c r="O336" i="1"/>
  <c r="P336" i="1"/>
  <c r="J337" i="1"/>
  <c r="K337" i="1"/>
  <c r="L337" i="1"/>
  <c r="M337" i="1"/>
  <c r="N337" i="1"/>
  <c r="O337" i="1"/>
  <c r="P337" i="1"/>
  <c r="J338" i="1"/>
  <c r="K338" i="1"/>
  <c r="L338" i="1"/>
  <c r="M338" i="1"/>
  <c r="N338" i="1"/>
  <c r="O338" i="1"/>
  <c r="P338" i="1"/>
  <c r="J340" i="1"/>
  <c r="K340" i="1"/>
  <c r="L340" i="1"/>
  <c r="M340" i="1"/>
  <c r="N340" i="1"/>
  <c r="O340" i="1"/>
  <c r="P340" i="1"/>
  <c r="J342" i="1"/>
  <c r="K342" i="1"/>
  <c r="L342" i="1"/>
  <c r="M342" i="1"/>
  <c r="N342" i="1"/>
  <c r="O342" i="1"/>
  <c r="P342" i="1"/>
  <c r="J344" i="1"/>
  <c r="K344" i="1"/>
  <c r="L344" i="1"/>
  <c r="M344" i="1"/>
  <c r="N344" i="1"/>
  <c r="O344" i="1"/>
  <c r="P344" i="1"/>
  <c r="J359" i="1"/>
  <c r="K359" i="1"/>
  <c r="L359" i="1"/>
  <c r="M359" i="1"/>
  <c r="N359" i="1"/>
  <c r="O359" i="1"/>
  <c r="P359" i="1"/>
  <c r="J365" i="1"/>
  <c r="K365" i="1"/>
  <c r="L365" i="1"/>
  <c r="M365" i="1"/>
  <c r="N365" i="1"/>
  <c r="O365" i="1"/>
  <c r="P365" i="1"/>
  <c r="J366" i="1"/>
  <c r="K366" i="1"/>
  <c r="L366" i="1"/>
  <c r="M366" i="1"/>
  <c r="N366" i="1"/>
  <c r="O366" i="1"/>
  <c r="P366" i="1"/>
  <c r="J367" i="1"/>
  <c r="K367" i="1"/>
  <c r="L367" i="1"/>
  <c r="M367" i="1"/>
  <c r="N367" i="1"/>
  <c r="O367" i="1"/>
  <c r="P367" i="1"/>
  <c r="J374" i="1"/>
  <c r="K374" i="1"/>
  <c r="L374" i="1"/>
  <c r="M374" i="1"/>
  <c r="N374" i="1"/>
  <c r="O374" i="1"/>
  <c r="P374" i="1"/>
  <c r="J389" i="1"/>
  <c r="K389" i="1"/>
  <c r="L389" i="1"/>
  <c r="M389" i="1"/>
  <c r="N389" i="1"/>
  <c r="O389" i="1"/>
  <c r="P389" i="1"/>
  <c r="J391" i="1"/>
  <c r="K391" i="1"/>
  <c r="L391" i="1"/>
  <c r="M391" i="1"/>
  <c r="N391" i="1"/>
  <c r="O391" i="1"/>
  <c r="P391" i="1"/>
  <c r="J402" i="1"/>
  <c r="K402" i="1"/>
  <c r="L402" i="1"/>
  <c r="M402" i="1"/>
  <c r="N402" i="1"/>
  <c r="O402" i="1"/>
  <c r="P402" i="1"/>
  <c r="J403" i="1"/>
  <c r="K403" i="1"/>
  <c r="L403" i="1"/>
  <c r="M403" i="1"/>
  <c r="N403" i="1"/>
  <c r="O403" i="1"/>
  <c r="P403" i="1"/>
  <c r="J407" i="1"/>
  <c r="K407" i="1"/>
  <c r="L407" i="1"/>
  <c r="M407" i="1"/>
  <c r="N407" i="1"/>
  <c r="O407" i="1"/>
  <c r="P407" i="1"/>
  <c r="G408" i="1"/>
  <c r="H408" i="1"/>
  <c r="I408" i="1"/>
  <c r="J408" i="1"/>
  <c r="K408" i="1"/>
  <c r="L408" i="1"/>
  <c r="M408" i="1"/>
  <c r="N408" i="1"/>
  <c r="O408" i="1"/>
  <c r="P408" i="1"/>
  <c r="G409" i="1"/>
  <c r="H409" i="1"/>
  <c r="I409" i="1"/>
  <c r="J409" i="1"/>
  <c r="K409" i="1"/>
  <c r="L409" i="1"/>
  <c r="M409" i="1"/>
  <c r="N409" i="1"/>
  <c r="O409" i="1"/>
  <c r="P409" i="1"/>
  <c r="G410" i="1"/>
  <c r="H410" i="1"/>
  <c r="I410" i="1"/>
  <c r="J410" i="1"/>
  <c r="K410" i="1"/>
  <c r="L410" i="1"/>
  <c r="M410" i="1"/>
  <c r="N410" i="1"/>
  <c r="O410" i="1"/>
  <c r="P410" i="1"/>
  <c r="G413" i="1"/>
  <c r="H413" i="1"/>
  <c r="I413" i="1"/>
  <c r="J413" i="1"/>
  <c r="K413" i="1"/>
  <c r="L413" i="1"/>
  <c r="M413" i="1"/>
  <c r="N413" i="1"/>
  <c r="O413" i="1"/>
  <c r="P413" i="1"/>
  <c r="G414" i="1"/>
  <c r="H414" i="1"/>
  <c r="I414" i="1"/>
  <c r="J414" i="1"/>
  <c r="K414" i="1"/>
  <c r="L414" i="1"/>
  <c r="M414" i="1"/>
  <c r="N414" i="1"/>
  <c r="O414" i="1"/>
  <c r="P414" i="1"/>
  <c r="G416" i="1"/>
  <c r="H416" i="1"/>
  <c r="I416" i="1"/>
  <c r="J416" i="1"/>
  <c r="K416" i="1"/>
  <c r="L416" i="1"/>
  <c r="M416" i="1"/>
  <c r="N416" i="1"/>
  <c r="O416" i="1"/>
  <c r="P416" i="1"/>
  <c r="G417" i="1"/>
  <c r="H417" i="1"/>
  <c r="I417" i="1"/>
  <c r="J417" i="1"/>
  <c r="K417" i="1"/>
  <c r="L417" i="1"/>
  <c r="M417" i="1"/>
  <c r="N417" i="1"/>
  <c r="O417" i="1"/>
  <c r="P417" i="1"/>
  <c r="G418" i="1"/>
  <c r="H418" i="1"/>
  <c r="I418" i="1"/>
  <c r="J418" i="1"/>
  <c r="K418" i="1"/>
  <c r="L418" i="1"/>
  <c r="M418" i="1"/>
  <c r="N418" i="1"/>
  <c r="O418" i="1"/>
  <c r="P418" i="1"/>
  <c r="G420" i="1"/>
  <c r="H420" i="1"/>
  <c r="I420" i="1"/>
  <c r="J420" i="1"/>
  <c r="K420" i="1"/>
  <c r="L420" i="1"/>
  <c r="M420" i="1"/>
  <c r="N420" i="1"/>
  <c r="O420" i="1"/>
  <c r="P420" i="1"/>
  <c r="G421" i="1"/>
  <c r="H421" i="1"/>
  <c r="I421" i="1"/>
  <c r="J421" i="1"/>
  <c r="K421" i="1"/>
  <c r="L421" i="1"/>
  <c r="M421" i="1"/>
  <c r="N421" i="1"/>
  <c r="O421" i="1"/>
  <c r="P421" i="1"/>
  <c r="G423" i="1"/>
  <c r="H423" i="1"/>
  <c r="I423" i="1"/>
  <c r="J423" i="1"/>
  <c r="K423" i="1"/>
  <c r="L423" i="1"/>
  <c r="M423" i="1"/>
  <c r="N423" i="1"/>
  <c r="O423" i="1"/>
  <c r="P423" i="1"/>
  <c r="G424" i="1"/>
  <c r="H424" i="1"/>
  <c r="I424" i="1"/>
  <c r="J424" i="1"/>
  <c r="K424" i="1"/>
  <c r="L424" i="1"/>
  <c r="M424" i="1"/>
  <c r="N424" i="1"/>
  <c r="O424" i="1"/>
  <c r="P424" i="1"/>
  <c r="J426" i="1"/>
  <c r="K426" i="1"/>
  <c r="L426" i="1"/>
  <c r="M426" i="1"/>
  <c r="N426" i="1"/>
  <c r="O426" i="1"/>
  <c r="P426" i="1"/>
  <c r="J427" i="1"/>
  <c r="K427" i="1"/>
  <c r="L427" i="1"/>
  <c r="M427" i="1"/>
  <c r="N427" i="1"/>
  <c r="O427" i="1"/>
  <c r="P427" i="1"/>
  <c r="J429" i="1"/>
  <c r="K429" i="1"/>
  <c r="L429" i="1"/>
  <c r="M429" i="1"/>
  <c r="N429" i="1"/>
  <c r="O429" i="1"/>
  <c r="P429" i="1"/>
  <c r="B435" i="1"/>
  <c r="B437" i="1"/>
  <c r="B438" i="1"/>
  <c r="B439" i="1"/>
  <c r="D439" i="1"/>
  <c r="E439" i="1"/>
  <c r="B440" i="1"/>
  <c r="B442" i="1"/>
  <c r="B443" i="1"/>
  <c r="B444" i="1"/>
  <c r="B446" i="1"/>
  <c r="B449" i="1"/>
  <c r="B450" i="1"/>
  <c r="B451" i="1"/>
  <c r="B453" i="1"/>
  <c r="B454" i="1"/>
  <c r="O180" i="2"/>
  <c r="B142" i="8"/>
  <c r="C142" i="8"/>
  <c r="D142" i="8"/>
  <c r="E142" i="8"/>
  <c r="F142" i="8"/>
  <c r="B153" i="8"/>
  <c r="C153" i="8"/>
  <c r="D153" i="8"/>
  <c r="E153" i="8"/>
  <c r="F153" i="8"/>
  <c r="B155" i="8"/>
  <c r="C155" i="8"/>
  <c r="D155" i="8"/>
  <c r="E155" i="8"/>
  <c r="F155" i="8"/>
  <c r="B158" i="8"/>
  <c r="C158" i="8"/>
  <c r="D158" i="8"/>
  <c r="E158" i="8"/>
  <c r="F158" i="8"/>
  <c r="B167" i="8"/>
  <c r="C167" i="8"/>
  <c r="D167" i="8"/>
  <c r="E167" i="8"/>
  <c r="F167" i="8"/>
  <c r="B168" i="8"/>
  <c r="C168" i="8"/>
  <c r="D168" i="8"/>
  <c r="E168" i="8"/>
  <c r="F168" i="8"/>
  <c r="B170" i="8"/>
  <c r="C170" i="8"/>
  <c r="D170" i="8"/>
  <c r="E170" i="8"/>
  <c r="F170" i="8"/>
  <c r="B173" i="8"/>
  <c r="C173" i="8"/>
  <c r="D173" i="8"/>
  <c r="E173" i="8"/>
  <c r="F173" i="8"/>
  <c r="B219" i="8"/>
  <c r="C219" i="8"/>
  <c r="D219" i="8"/>
  <c r="E219" i="8"/>
  <c r="F219" i="8"/>
  <c r="E51" i="3"/>
  <c r="F51" i="3"/>
  <c r="G51" i="3"/>
  <c r="B79" i="3"/>
  <c r="H79" i="3"/>
  <c r="I79" i="3"/>
  <c r="B80" i="3"/>
  <c r="H80" i="3"/>
  <c r="B82" i="3"/>
  <c r="H82" i="3"/>
  <c r="B83" i="3"/>
  <c r="H83" i="3"/>
  <c r="I83" i="3"/>
  <c r="B84" i="3"/>
  <c r="H84" i="3"/>
  <c r="J3" i="6"/>
  <c r="K3" i="6"/>
  <c r="L3" i="6"/>
  <c r="M3" i="6"/>
  <c r="J4" i="6"/>
  <c r="K4" i="6"/>
  <c r="L4" i="6"/>
  <c r="M4" i="6"/>
  <c r="J5" i="6"/>
  <c r="K5" i="6"/>
  <c r="L5" i="6"/>
  <c r="M5" i="6"/>
  <c r="C6" i="6"/>
  <c r="D6" i="6"/>
  <c r="E6" i="6"/>
  <c r="F6" i="6"/>
  <c r="J6" i="6"/>
  <c r="K6" i="6"/>
  <c r="L6" i="6"/>
  <c r="M6" i="6"/>
  <c r="F7" i="6"/>
  <c r="C9" i="6"/>
  <c r="D9" i="6"/>
  <c r="E9" i="6"/>
  <c r="F9" i="6"/>
  <c r="M9" i="6"/>
  <c r="C10" i="6"/>
  <c r="D10" i="6"/>
  <c r="E10" i="6"/>
  <c r="F10" i="6"/>
  <c r="M10" i="6"/>
  <c r="F18" i="6"/>
  <c r="F19" i="6"/>
  <c r="F2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author>
    <author>David</author>
  </authors>
  <commentList>
    <comment ref="A83" authorId="0" shapeId="0" xr:uid="{BFD4572F-397C-4FDD-8FEE-1806A374C49E}">
      <text>
        <r>
          <rPr>
            <b/>
            <sz val="9"/>
            <color indexed="81"/>
            <rFont val="Tahoma"/>
            <family val="2"/>
          </rPr>
          <t>Eduardo:</t>
        </r>
        <r>
          <rPr>
            <sz val="9"/>
            <color indexed="81"/>
            <rFont val="Tahoma"/>
            <family val="2"/>
          </rPr>
          <t xml:space="preserve">
Around 70% of # of sites acording to Telecom.com.br</t>
        </r>
      </text>
    </comment>
    <comment ref="I109" authorId="1" shapeId="0" xr:uid="{4A52F74F-DDF9-41AA-AD9F-F8A785EC91D9}">
      <text>
        <r>
          <rPr>
            <b/>
            <sz val="9"/>
            <color indexed="81"/>
            <rFont val="Tahoma"/>
            <family val="2"/>
          </rPr>
          <t>David:</t>
        </r>
        <r>
          <rPr>
            <sz val="9"/>
            <color indexed="81"/>
            <rFont val="Tahoma"/>
            <family val="2"/>
          </rPr>
          <t xml:space="preserve">
Market consolidating</t>
        </r>
      </text>
    </comment>
    <comment ref="A144" authorId="0" shapeId="0" xr:uid="{C6BEF612-97EA-4D49-8C8C-1CEC7D94D6CF}">
      <text>
        <r>
          <rPr>
            <b/>
            <sz val="9"/>
            <color indexed="81"/>
            <rFont val="Tahoma"/>
            <family val="2"/>
          </rPr>
          <t>Eduardo:</t>
        </r>
        <r>
          <rPr>
            <sz val="9"/>
            <color indexed="81"/>
            <rFont val="Tahoma"/>
            <family val="2"/>
          </rPr>
          <t xml:space="preserve">
Full sharing of 5G Sites
</t>
        </r>
      </text>
    </comment>
    <comment ref="A145" authorId="0" shapeId="0" xr:uid="{F883E812-D79D-46CC-A80E-B4B5FA3DADB8}">
      <text>
        <r>
          <rPr>
            <b/>
            <sz val="9"/>
            <color indexed="81"/>
            <rFont val="Tahoma"/>
            <family val="2"/>
          </rPr>
          <t>Eduardo:</t>
        </r>
        <r>
          <rPr>
            <sz val="9"/>
            <color indexed="81"/>
            <rFont val="Tahoma"/>
            <family val="2"/>
          </rPr>
          <t xml:space="preserve">
Zero sharing of 5G sites</t>
        </r>
      </text>
    </comment>
    <comment ref="H149" authorId="0" shapeId="0" xr:uid="{B3711C94-2D94-48F6-BE2D-2FFD2BE67B39}">
      <text>
        <r>
          <rPr>
            <b/>
            <sz val="9"/>
            <color indexed="81"/>
            <rFont val="Tahoma"/>
            <family val="2"/>
          </rPr>
          <t>Eduardo:</t>
        </r>
        <r>
          <rPr>
            <sz val="9"/>
            <color indexed="81"/>
            <rFont val="Tahoma"/>
            <family val="2"/>
          </rPr>
          <t xml:space="preserve">
Source: teleco.com.br founder</t>
        </r>
      </text>
    </comment>
    <comment ref="A167" authorId="0" shapeId="0" xr:uid="{02251E35-1740-40F7-B12B-96A6076FA4C0}">
      <text>
        <r>
          <rPr>
            <b/>
            <sz val="9"/>
            <color indexed="81"/>
            <rFont val="Tahoma"/>
            <family val="2"/>
          </rPr>
          <t>Eduardo:</t>
        </r>
        <r>
          <rPr>
            <sz val="9"/>
            <color indexed="81"/>
            <rFont val="Tahoma"/>
            <family val="2"/>
          </rPr>
          <t xml:space="preserve">
50% estimate</t>
        </r>
      </text>
    </comment>
    <comment ref="A168" authorId="0" shapeId="0" xr:uid="{CBCA6506-EFF9-4E61-9CF3-2545608C1D06}">
      <text>
        <r>
          <rPr>
            <b/>
            <sz val="9"/>
            <color indexed="81"/>
            <rFont val="Tahoma"/>
            <family val="2"/>
          </rPr>
          <t>Eduardo:</t>
        </r>
        <r>
          <rPr>
            <sz val="9"/>
            <color indexed="81"/>
            <rFont val="Tahoma"/>
            <family val="2"/>
          </rPr>
          <t xml:space="preserve">
Acquired 2.113k towers from Oi in 2013. Estimate of 20%</t>
        </r>
      </text>
    </comment>
    <comment ref="A169" authorId="0" shapeId="0" xr:uid="{B92C6A3F-A79C-4252-B991-9A9C819CBF2F}">
      <text>
        <r>
          <rPr>
            <b/>
            <sz val="9"/>
            <color indexed="81"/>
            <rFont val="Tahoma"/>
            <family val="2"/>
          </rPr>
          <t>Eduardo:</t>
        </r>
        <r>
          <rPr>
            <sz val="9"/>
            <color indexed="81"/>
            <rFont val="Tahoma"/>
            <family val="2"/>
          </rPr>
          <t xml:space="preserve">
Acquired 2.113k towers from Oi in 2013 + 1.208 in 2012. Estimate of 30%</t>
        </r>
      </text>
    </comment>
    <comment ref="A172" authorId="0" shapeId="0" xr:uid="{24EE6A59-AED4-4E46-9032-107AC4FF4ABE}">
      <text>
        <r>
          <rPr>
            <b/>
            <sz val="9"/>
            <color indexed="81"/>
            <rFont val="Tahoma"/>
            <family val="2"/>
          </rPr>
          <t>Eduardo:</t>
        </r>
        <r>
          <rPr>
            <sz val="9"/>
            <color indexed="81"/>
            <rFont val="Tahoma"/>
            <family val="2"/>
          </rPr>
          <t xml:space="preserve">
50% estimate</t>
        </r>
      </text>
    </comment>
    <comment ref="A173" authorId="0" shapeId="0" xr:uid="{7C761965-DAA8-47D4-B325-13511F493972}">
      <text>
        <r>
          <rPr>
            <b/>
            <sz val="9"/>
            <color indexed="81"/>
            <rFont val="Tahoma"/>
            <family val="2"/>
          </rPr>
          <t>Eduardo:</t>
        </r>
        <r>
          <rPr>
            <sz val="9"/>
            <color indexed="81"/>
            <rFont val="Tahoma"/>
            <family val="2"/>
          </rPr>
          <t xml:space="preserve">
Acquired 2.113k towers from Oi in 2013. Estimate of 20%</t>
        </r>
      </text>
    </comment>
    <comment ref="A174" authorId="0" shapeId="0" xr:uid="{D82D929E-00F3-4682-851E-84DB34A7EB8D}">
      <text>
        <r>
          <rPr>
            <b/>
            <sz val="9"/>
            <color indexed="81"/>
            <rFont val="Tahoma"/>
            <family val="2"/>
          </rPr>
          <t>Eduardo:</t>
        </r>
        <r>
          <rPr>
            <sz val="9"/>
            <color indexed="81"/>
            <rFont val="Tahoma"/>
            <family val="2"/>
          </rPr>
          <t xml:space="preserve">
Acquired 2.113k towers from Oi in 2013 + 1.208 in 2012. Estimate of 30%</t>
        </r>
      </text>
    </comment>
    <comment ref="A188" authorId="0" shapeId="0" xr:uid="{A76FCFC4-01E7-4020-B857-C975C96B0E25}">
      <text>
        <r>
          <rPr>
            <b/>
            <sz val="9"/>
            <color indexed="81"/>
            <rFont val="Tahoma"/>
            <family val="2"/>
          </rPr>
          <t>Eduardo:</t>
        </r>
        <r>
          <rPr>
            <sz val="9"/>
            <color indexed="81"/>
            <rFont val="Tahoma"/>
            <family val="2"/>
          </rPr>
          <t xml:space="preserve">
Source: UN</t>
        </r>
      </text>
    </comment>
    <comment ref="A275" authorId="0" shapeId="0" xr:uid="{DA348721-3708-4A41-9CF2-3A8E5A005DAE}">
      <text>
        <r>
          <rPr>
            <b/>
            <sz val="9"/>
            <color indexed="81"/>
            <rFont val="Tahoma"/>
            <family val="2"/>
          </rPr>
          <t>Eduardo:</t>
        </r>
        <r>
          <rPr>
            <sz val="9"/>
            <color indexed="81"/>
            <rFont val="Tahoma"/>
            <family val="2"/>
          </rPr>
          <t xml:space="preserve">
Estimate for inflation in LATAM outside Brazil</t>
        </r>
      </text>
    </comment>
    <comment ref="A328" authorId="0" shapeId="0" xr:uid="{E1FCF2C3-437F-46FD-A77B-7C3C45279000}">
      <text>
        <r>
          <rPr>
            <b/>
            <sz val="9"/>
            <color indexed="81"/>
            <rFont val="Tahoma"/>
            <family val="2"/>
          </rPr>
          <t>Eduardo:</t>
        </r>
        <r>
          <rPr>
            <sz val="9"/>
            <color indexed="81"/>
            <rFont val="Tahoma"/>
            <family val="2"/>
          </rPr>
          <t xml:space="preserve">
Between 10% and 34%</t>
        </r>
      </text>
    </comment>
    <comment ref="H346" authorId="1" shapeId="0" xr:uid="{13370987-6C56-4D03-8A32-D421A505F392}">
      <text>
        <r>
          <rPr>
            <b/>
            <sz val="9"/>
            <color indexed="81"/>
            <rFont val="Tahoma"/>
            <family val="2"/>
          </rPr>
          <t>David:</t>
        </r>
        <r>
          <rPr>
            <sz val="9"/>
            <color indexed="81"/>
            <rFont val="Tahoma"/>
            <family val="2"/>
          </rPr>
          <t xml:space="preserve">
Except for the acquisition of Passive Infrastructure in Peru as described under “Recent Developments” in this annual report, during the 12-month periods ended December 31, 2022 and December 31, 2021 we did not incur in any capital expenditure
$76k see notes.
Acquisition of 500 towers in Peru.</t>
        </r>
      </text>
    </comment>
    <comment ref="I352" authorId="1" shapeId="0" xr:uid="{1F8E7C6D-6311-4810-B671-AA2F16EB69D6}">
      <text>
        <r>
          <rPr>
            <b/>
            <sz val="9"/>
            <color indexed="81"/>
            <rFont val="Tahoma"/>
            <family val="2"/>
          </rPr>
          <t>David:</t>
        </r>
        <r>
          <rPr>
            <sz val="9"/>
            <color indexed="81"/>
            <rFont val="Tahoma"/>
            <family val="2"/>
          </rPr>
          <t xml:space="preserve">
Average capex $90k per new tower (Q3 23 presentation)</t>
        </r>
      </text>
    </comment>
    <comment ref="I365" authorId="1" shapeId="0" xr:uid="{A3056795-8422-4E2C-9BC6-C21976D0CF58}">
      <text>
        <r>
          <rPr>
            <b/>
            <sz val="9"/>
            <color indexed="81"/>
            <rFont val="Tahoma"/>
            <family val="2"/>
          </rPr>
          <t>David:</t>
        </r>
        <r>
          <rPr>
            <sz val="9"/>
            <color indexed="81"/>
            <rFont val="Tahoma"/>
            <family val="2"/>
          </rPr>
          <t xml:space="preserve">
2000 to reflect acquisitions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author>
    <author>Eduardo</author>
  </authors>
  <commentList>
    <comment ref="AJ1" authorId="0" shapeId="0" xr:uid="{8DEBF597-9428-4838-95A5-AA4EEBCEC90D}">
      <text>
        <r>
          <rPr>
            <b/>
            <sz val="9"/>
            <color indexed="81"/>
            <rFont val="Tahoma"/>
            <family val="2"/>
          </rPr>
          <t>David:</t>
        </r>
        <r>
          <rPr>
            <sz val="9"/>
            <color indexed="81"/>
            <rFont val="Tahoma"/>
            <family val="2"/>
          </rPr>
          <t xml:space="preserve">
Pre adjustment given in Q1 23
$228,541,000 pesos under “other Income” included in tower lease revenues during the fourth quarter of 2022, were reclassified into the comprehensive
financing result accounts. This adjustment is in line with the Audited Financial Statements for 2022.</t>
        </r>
      </text>
    </comment>
    <comment ref="L10" authorId="0" shapeId="0" xr:uid="{FEEDB02C-884D-4AA8-BDFE-0C938A8302EB}">
      <text>
        <r>
          <rPr>
            <b/>
            <sz val="9"/>
            <color indexed="81"/>
            <rFont val="Tahoma"/>
            <family val="2"/>
          </rPr>
          <t>David:</t>
        </r>
        <r>
          <rPr>
            <sz val="9"/>
            <color indexed="81"/>
            <rFont val="Tahoma"/>
            <family val="2"/>
          </rPr>
          <t xml:space="preserve">
1.226x ex Peru and DR</t>
        </r>
      </text>
    </comment>
    <comment ref="L26" authorId="0" shapeId="0" xr:uid="{F2394B77-2B73-46C2-AD30-620871BF0FFC}">
      <text>
        <r>
          <rPr>
            <b/>
            <sz val="9"/>
            <color indexed="81"/>
            <rFont val="Tahoma"/>
            <family val="2"/>
          </rPr>
          <t>David:</t>
        </r>
        <r>
          <rPr>
            <sz val="9"/>
            <color indexed="81"/>
            <rFont val="Tahoma"/>
            <family val="2"/>
          </rPr>
          <t xml:space="preserve">
On February 3rd, SITES completed the acquisition of 1,388 telecommunication towers from Compañía
Dominicana de Teléfonos S.A. (Claro Republica Dominicana);</t>
        </r>
      </text>
    </comment>
    <comment ref="I28" authorId="0" shapeId="0" xr:uid="{70EDAB6F-915B-4C8F-B862-8D97FF56C83E}">
      <text>
        <r>
          <rPr>
            <b/>
            <sz val="9"/>
            <color indexed="81"/>
            <rFont val="Tahoma"/>
            <family val="2"/>
          </rPr>
          <t>David:</t>
        </r>
        <r>
          <rPr>
            <sz val="9"/>
            <color indexed="81"/>
            <rFont val="Tahoma"/>
            <family val="2"/>
          </rPr>
          <t xml:space="preserve">
500 from Peru</t>
        </r>
      </text>
    </comment>
    <comment ref="L28" authorId="0" shapeId="0" xr:uid="{E85617ED-761F-4482-A05C-7BFC3EFD5BF6}">
      <text>
        <r>
          <rPr>
            <b/>
            <sz val="9"/>
            <color indexed="81"/>
            <rFont val="Tahoma"/>
            <family val="2"/>
          </rPr>
          <t>David:</t>
        </r>
        <r>
          <rPr>
            <sz val="9"/>
            <color indexed="81"/>
            <rFont val="Tahoma"/>
            <family val="2"/>
          </rPr>
          <t xml:space="preserve">
Acquisition of 2,980 telecommunication towers from América Móvil
Perú S.A.C (Claro Perú)</t>
        </r>
      </text>
    </comment>
    <comment ref="I36" authorId="0" shapeId="0" xr:uid="{1377951D-05FF-4933-A97B-004DBCA6DD48}">
      <text>
        <r>
          <rPr>
            <b/>
            <sz val="9"/>
            <color indexed="81"/>
            <rFont val="Tahoma"/>
            <family val="2"/>
          </rPr>
          <t>David:</t>
        </r>
        <r>
          <rPr>
            <sz val="9"/>
            <color indexed="81"/>
            <rFont val="Tahoma"/>
            <family val="2"/>
          </rPr>
          <t xml:space="preserve">
IR: 663</t>
        </r>
      </text>
    </comment>
    <comment ref="L38" authorId="0" shapeId="0" xr:uid="{682B8BA2-375C-47CB-91CB-43DCDEDDDD0D}">
      <text>
        <r>
          <rPr>
            <b/>
            <sz val="9"/>
            <color indexed="81"/>
            <rFont val="Tahoma"/>
            <family val="2"/>
          </rPr>
          <t>David:</t>
        </r>
        <r>
          <rPr>
            <sz val="9"/>
            <color indexed="81"/>
            <rFont val="Tahoma"/>
            <family val="2"/>
          </rPr>
          <t xml:space="preserve">
On February 3rd, SITES completed the acquisition of 1,388 telecommunication towers from Compañía
Dominicana de Teléfonos S.A. (Claro Republica Dominicana);</t>
        </r>
      </text>
    </comment>
    <comment ref="I40" authorId="0" shapeId="0" xr:uid="{9CF8724C-8E06-488B-AF81-353B0D75AD3F}">
      <text>
        <r>
          <rPr>
            <b/>
            <sz val="9"/>
            <color indexed="81"/>
            <rFont val="Tahoma"/>
            <family val="2"/>
          </rPr>
          <t>David:</t>
        </r>
        <r>
          <rPr>
            <sz val="9"/>
            <color indexed="81"/>
            <rFont val="Tahoma"/>
            <family val="2"/>
          </rPr>
          <t xml:space="preserve">
500 towers  M&amp;A in Peru</t>
        </r>
      </text>
    </comment>
    <comment ref="L40" authorId="0" shapeId="0" xr:uid="{B5A0B51A-32E4-4C92-B649-5E9DB683FD39}">
      <text>
        <r>
          <rPr>
            <b/>
            <sz val="9"/>
            <color indexed="81"/>
            <rFont val="Tahoma"/>
            <family val="2"/>
          </rPr>
          <t>David:</t>
        </r>
        <r>
          <rPr>
            <sz val="9"/>
            <color indexed="81"/>
            <rFont val="Tahoma"/>
            <family val="2"/>
          </rPr>
          <t xml:space="preserve">
Acquisition of 2,980 telecommunication towers from América Móvil
Perú S.A.C (Claro Perú)</t>
        </r>
      </text>
    </comment>
    <comment ref="A119" authorId="1" shapeId="0" xr:uid="{64BB74E5-51E7-46D5-9D78-D4F47C58D942}">
      <text>
        <r>
          <rPr>
            <b/>
            <sz val="9"/>
            <color indexed="81"/>
            <rFont val="Tahoma"/>
            <family val="2"/>
          </rPr>
          <t>Eduardo:</t>
        </r>
        <r>
          <rPr>
            <sz val="9"/>
            <color indexed="81"/>
            <rFont val="Tahoma"/>
            <family val="2"/>
          </rPr>
          <t xml:space="preserve">
Between 10% and 34%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Eduardo</author>
  </authors>
  <commentList>
    <comment ref="D2" authorId="0" shapeId="0" xr:uid="{14307DC9-4753-4047-83A5-C928433B3A4E}">
      <text>
        <r>
          <rPr>
            <b/>
            <sz val="9"/>
            <color indexed="81"/>
            <rFont val="Tahoma"/>
            <family val="2"/>
          </rPr>
          <t>Eduardo:</t>
        </r>
        <r>
          <rPr>
            <sz val="9"/>
            <color indexed="81"/>
            <rFont val="Tahoma"/>
            <family val="2"/>
          </rPr>
          <t xml:space="preserve">
spin off in 5th of January</t>
        </r>
      </text>
    </comment>
  </commentList>
</comments>
</file>

<file path=xl/sharedStrings.xml><?xml version="1.0" encoding="utf-8"?>
<sst xmlns="http://schemas.openxmlformats.org/spreadsheetml/2006/main" count="1530" uniqueCount="724">
  <si>
    <t>Towers, 000s</t>
  </si>
  <si>
    <t>AMX</t>
  </si>
  <si>
    <t>AMT</t>
  </si>
  <si>
    <t>Other</t>
  </si>
  <si>
    <t>Market adds</t>
  </si>
  <si>
    <t>Market share</t>
  </si>
  <si>
    <t>Market sites</t>
  </si>
  <si>
    <t>Sites by tower companies</t>
  </si>
  <si>
    <t>Total</t>
  </si>
  <si>
    <t>POPs</t>
  </si>
  <si>
    <t>POPs per tower</t>
  </si>
  <si>
    <t>POPs per site</t>
  </si>
  <si>
    <t>Brazil</t>
  </si>
  <si>
    <t>Argentina</t>
  </si>
  <si>
    <t>Peru</t>
  </si>
  <si>
    <t>Guatemala</t>
  </si>
  <si>
    <t>Chile</t>
  </si>
  <si>
    <t>Ecuador</t>
  </si>
  <si>
    <t>Honduras</t>
  </si>
  <si>
    <t>Dom Rep</t>
  </si>
  <si>
    <t>El Salvador</t>
  </si>
  <si>
    <t>Nicaragua</t>
  </si>
  <si>
    <t>Paraguay</t>
  </si>
  <si>
    <t>Costa Rica</t>
  </si>
  <si>
    <t>Uruguay</t>
  </si>
  <si>
    <t>Panama</t>
  </si>
  <si>
    <t>Mexico</t>
  </si>
  <si>
    <t>Colombia</t>
  </si>
  <si>
    <t>SBA</t>
  </si>
  <si>
    <t>GTS</t>
  </si>
  <si>
    <t>IHS</t>
  </si>
  <si>
    <t>Highline</t>
  </si>
  <si>
    <t>QMC</t>
  </si>
  <si>
    <t>Check</t>
  </si>
  <si>
    <t>Anatel Data</t>
  </si>
  <si>
    <t>Revenue</t>
  </si>
  <si>
    <t>Finance charge</t>
  </si>
  <si>
    <t>EFCF</t>
  </si>
  <si>
    <t>EBITDA</t>
  </si>
  <si>
    <t>margin %</t>
  </si>
  <si>
    <t>y/y growth</t>
  </si>
  <si>
    <t>EBIT</t>
  </si>
  <si>
    <t>Deferred income taxes</t>
  </si>
  <si>
    <t>Cash and equivalents</t>
  </si>
  <si>
    <t>PBT</t>
  </si>
  <si>
    <t>Tax rate</t>
  </si>
  <si>
    <t>Tax (P&amp;L)</t>
  </si>
  <si>
    <t>After-tax profit</t>
  </si>
  <si>
    <t>Minorities</t>
  </si>
  <si>
    <t>Net Income</t>
  </si>
  <si>
    <t>Net debt</t>
  </si>
  <si>
    <t>Cash</t>
  </si>
  <si>
    <t>Towers built</t>
  </si>
  <si>
    <t>Capex/tower, USD 000's</t>
  </si>
  <si>
    <t>Monthly cost per tower, MXN</t>
  </si>
  <si>
    <t>Monthly cost per tower, $</t>
  </si>
  <si>
    <t>Opex, MXN</t>
  </si>
  <si>
    <t>Sitios Latinoamerica, MXN m</t>
  </si>
  <si>
    <t>Capex, USD m</t>
  </si>
  <si>
    <t>Capex, MXN m</t>
  </si>
  <si>
    <t>Balance Sheet, MXN m</t>
  </si>
  <si>
    <t>Current Assets</t>
  </si>
  <si>
    <t>Non-current assets</t>
  </si>
  <si>
    <t>Current Liabilities</t>
  </si>
  <si>
    <t>Non-current Liabilities</t>
  </si>
  <si>
    <t>Shareholder's equity</t>
  </si>
  <si>
    <t>Total Assets</t>
  </si>
  <si>
    <t>Total liabilities</t>
  </si>
  <si>
    <t>Other current liabilities</t>
  </si>
  <si>
    <t>Short-term debt and current portion of long-term debt</t>
  </si>
  <si>
    <t>Asset retirement obligations</t>
  </si>
  <si>
    <t>Right-of-use liabilities</t>
  </si>
  <si>
    <t>Gross debt</t>
  </si>
  <si>
    <t>Interest rate</t>
  </si>
  <si>
    <t>WACC</t>
  </si>
  <si>
    <t>NPV</t>
  </si>
  <si>
    <t>Implied growth</t>
  </si>
  <si>
    <t>Terminal value</t>
  </si>
  <si>
    <t>PV of terminal value</t>
  </si>
  <si>
    <t>EV, MXNm</t>
  </si>
  <si>
    <t>EV, $m</t>
  </si>
  <si>
    <t>Tax upside</t>
  </si>
  <si>
    <t>Target equity</t>
  </si>
  <si>
    <t>Number of shares, post</t>
  </si>
  <si>
    <t>Fair value, MXN</t>
  </si>
  <si>
    <t>Target, MXN</t>
  </si>
  <si>
    <t>upside</t>
  </si>
  <si>
    <t>Equity, $ underlying</t>
  </si>
  <si>
    <t>Minority</t>
  </si>
  <si>
    <t>Price</t>
  </si>
  <si>
    <t>Brazil - tower adds</t>
  </si>
  <si>
    <t>Co-location rates</t>
  </si>
  <si>
    <t>USD/MXN</t>
  </si>
  <si>
    <t>Valuation</t>
  </si>
  <si>
    <t>From teleco.com.br - # of towers is ~70% of Sites (disclosed)</t>
  </si>
  <si>
    <t>Should we include IFRS 16 lease interest payments?</t>
  </si>
  <si>
    <t>CAPEX seems high</t>
  </si>
  <si>
    <t>Tim decommissioning</t>
  </si>
  <si>
    <t>Puerto Rico</t>
  </si>
  <si>
    <t>Oi Sites acquired</t>
  </si>
  <si>
    <t>TIM sites</t>
  </si>
  <si>
    <t>Vivo sites</t>
  </si>
  <si>
    <t>Vivo decommissioning</t>
  </si>
  <si>
    <t>Claro sites</t>
  </si>
  <si>
    <t>Claro decommissioning</t>
  </si>
  <si>
    <t>BRTowers</t>
  </si>
  <si>
    <t>Grupo Torresur</t>
  </si>
  <si>
    <t>Oi sites tower leases</t>
  </si>
  <si>
    <t>Anatel projections</t>
  </si>
  <si>
    <t>Scenario 1</t>
  </si>
  <si>
    <t>Scenario 2</t>
  </si>
  <si>
    <t>Base case - half way</t>
  </si>
  <si>
    <t>Assumed co-location</t>
  </si>
  <si>
    <t>Projected towers</t>
  </si>
  <si>
    <t>Decommissioning</t>
  </si>
  <si>
    <t>Decommisioned sites in the year</t>
  </si>
  <si>
    <t>Brazil, BRL</t>
  </si>
  <si>
    <t>Market share - sites</t>
  </si>
  <si>
    <t>USD/BRL</t>
  </si>
  <si>
    <t>MXN/BRL</t>
  </si>
  <si>
    <t>Total, MXN 000s</t>
  </si>
  <si>
    <t>Revenue/Tower (MXN/month)</t>
  </si>
  <si>
    <t>Co-location rate Mexico (reported by co.) - Telesites</t>
  </si>
  <si>
    <t>Escalator</t>
  </si>
  <si>
    <t>China Tower</t>
  </si>
  <si>
    <t>India (Infratel)</t>
  </si>
  <si>
    <t>Uk</t>
  </si>
  <si>
    <t>Tower Bersama</t>
  </si>
  <si>
    <t>Spain</t>
  </si>
  <si>
    <t>Telesites</t>
  </si>
  <si>
    <t>Protelindo</t>
  </si>
  <si>
    <t>Tanzania</t>
  </si>
  <si>
    <t>Inwit</t>
  </si>
  <si>
    <t>Ghana</t>
  </si>
  <si>
    <t>AMT - Latam</t>
  </si>
  <si>
    <t>AMT  -EMEA</t>
  </si>
  <si>
    <t>Cellnex</t>
  </si>
  <si>
    <t>Italy</t>
  </si>
  <si>
    <t>France</t>
  </si>
  <si>
    <t>Switzerland</t>
  </si>
  <si>
    <t>Netherlands</t>
  </si>
  <si>
    <t>DRC</t>
  </si>
  <si>
    <t>Congo B</t>
  </si>
  <si>
    <t>AMT - USA</t>
  </si>
  <si>
    <t>Average tenancy per month rates</t>
  </si>
  <si>
    <t>USD/month</t>
  </si>
  <si>
    <t>Capex</t>
  </si>
  <si>
    <t>IHS Africa</t>
  </si>
  <si>
    <t>Indonesia</t>
  </si>
  <si>
    <t>USA</t>
  </si>
  <si>
    <t>W Eur</t>
  </si>
  <si>
    <t>India</t>
  </si>
  <si>
    <t>China</t>
  </si>
  <si>
    <t>Europe</t>
  </si>
  <si>
    <t>US</t>
  </si>
  <si>
    <t>Asia</t>
  </si>
  <si>
    <t xml:space="preserve">EUR </t>
  </si>
  <si>
    <t>Vantage Towers</t>
  </si>
  <si>
    <t xml:space="preserve">USD </t>
  </si>
  <si>
    <t>American Tower</t>
  </si>
  <si>
    <t>Crown Castle</t>
  </si>
  <si>
    <t xml:space="preserve">SBA </t>
  </si>
  <si>
    <t xml:space="preserve">INR </t>
  </si>
  <si>
    <t>Indus Tower</t>
  </si>
  <si>
    <t xml:space="preserve">HKD </t>
  </si>
  <si>
    <t xml:space="preserve">IDR </t>
  </si>
  <si>
    <t>Sarana Menara</t>
  </si>
  <si>
    <t>Mitratel</t>
  </si>
  <si>
    <t xml:space="preserve">MXN </t>
  </si>
  <si>
    <t>22E-25E Revenue Growth</t>
  </si>
  <si>
    <t>22E-25E EBITDA Growth</t>
  </si>
  <si>
    <t>Towers 22E</t>
  </si>
  <si>
    <t>Tenants 22E</t>
  </si>
  <si>
    <t>Tenancy ratio</t>
  </si>
  <si>
    <t>dd</t>
  </si>
  <si>
    <t>Co-location</t>
  </si>
  <si>
    <t>Geography</t>
  </si>
  <si>
    <t>EU</t>
  </si>
  <si>
    <t>Revenue escalator type</t>
  </si>
  <si>
    <t>Fixed</t>
  </si>
  <si>
    <t>Maintanence cost and site fee may be adjusted with CPI</t>
  </si>
  <si>
    <t>Revenue escalator</t>
  </si>
  <si>
    <t>N.D</t>
  </si>
  <si>
    <t>Fixed or escalating maintenance fee (typically annual increase based on inflation)</t>
  </si>
  <si>
    <t>CPI for local FX Revenues</t>
  </si>
  <si>
    <t>CPI Linked (can be a % of CPI)</t>
  </si>
  <si>
    <t>CPI linked</t>
  </si>
  <si>
    <t>Between 2% and 3%</t>
  </si>
  <si>
    <t>Subject to negotiation</t>
  </si>
  <si>
    <t>Population (m)</t>
  </si>
  <si>
    <t># of Towers (000's)</t>
  </si>
  <si>
    <t>Density</t>
  </si>
  <si>
    <t>Nigeria</t>
  </si>
  <si>
    <t>Kuwait</t>
  </si>
  <si>
    <t>Germany</t>
  </si>
  <si>
    <t>UK</t>
  </si>
  <si>
    <t>Poland</t>
  </si>
  <si>
    <t>South Africa</t>
  </si>
  <si>
    <t>Cameroon</t>
  </si>
  <si>
    <t>Zambia</t>
  </si>
  <si>
    <t>Cote D'Ivoire</t>
  </si>
  <si>
    <t>Rwanda</t>
  </si>
  <si>
    <t>Country</t>
  </si>
  <si>
    <t>000's of Pop / tower</t>
  </si>
  <si>
    <t>Entel</t>
  </si>
  <si>
    <t>Movistar</t>
  </si>
  <si>
    <t>WOM</t>
  </si>
  <si>
    <t>Operator</t>
  </si>
  <si>
    <t>Claro</t>
  </si>
  <si>
    <t>TIGO</t>
  </si>
  <si>
    <t>Bitel</t>
  </si>
  <si>
    <t>Vivo</t>
  </si>
  <si>
    <t>TIM</t>
  </si>
  <si>
    <t>Personal</t>
  </si>
  <si>
    <t>Nucleo</t>
  </si>
  <si>
    <t>Hondutel</t>
  </si>
  <si>
    <t>Digicel</t>
  </si>
  <si>
    <t>Digicel/govt</t>
  </si>
  <si>
    <t>LiLAC</t>
  </si>
  <si>
    <t>kolbi</t>
  </si>
  <si>
    <t>Vox</t>
  </si>
  <si>
    <t>CNT</t>
  </si>
  <si>
    <t>Altice</t>
  </si>
  <si>
    <t>Viva</t>
  </si>
  <si>
    <t>Antel</t>
  </si>
  <si>
    <t>LILAC</t>
  </si>
  <si>
    <t>T-Mobile</t>
  </si>
  <si>
    <t>Towers</t>
  </si>
  <si>
    <t>No 2</t>
  </si>
  <si>
    <t>No 1</t>
  </si>
  <si>
    <t>No 3</t>
  </si>
  <si>
    <t>No 4</t>
  </si>
  <si>
    <t>Receivables and others</t>
  </si>
  <si>
    <t>PP&amp;E, net</t>
  </si>
  <si>
    <t>Rights of use assets</t>
  </si>
  <si>
    <t>Short term lease liabilities</t>
  </si>
  <si>
    <t>Long term debt</t>
  </si>
  <si>
    <t>Infrastructure</t>
  </si>
  <si>
    <t>Land</t>
  </si>
  <si>
    <t xml:space="preserve"> - of which service costs</t>
  </si>
  <si>
    <t xml:space="preserve"> - of which operations costs</t>
  </si>
  <si>
    <t xml:space="preserve"> - Depreciation as % of PPE</t>
  </si>
  <si>
    <t xml:space="preserve"> - of which Depreciation</t>
  </si>
  <si>
    <t>Other finance costs</t>
  </si>
  <si>
    <t>FX exchange loss</t>
  </si>
  <si>
    <t>EBITDAaL</t>
  </si>
  <si>
    <t>most relevant clients</t>
  </si>
  <si>
    <t>EBITDA 22</t>
  </si>
  <si>
    <t>revenue/ region</t>
  </si>
  <si>
    <t>EV/EBITDA</t>
  </si>
  <si>
    <t>TP</t>
  </si>
  <si>
    <t>EBITDAaL 22</t>
  </si>
  <si>
    <t>Net debt (including lease)</t>
  </si>
  <si>
    <t>EV/EBITDAaL</t>
  </si>
  <si>
    <t>Net debt (without lease)</t>
  </si>
  <si>
    <t>Sitios</t>
  </si>
  <si>
    <t>POP</t>
  </si>
  <si>
    <t>Claro/LiLAC</t>
  </si>
  <si>
    <t>Revenue - Infrastructure contracts</t>
  </si>
  <si>
    <t>Tower rental</t>
  </si>
  <si>
    <t>Infrastructure - Tariff (000's BRL/month)</t>
  </si>
  <si>
    <t>Brazilian Inflation</t>
  </si>
  <si>
    <t>Revenue - Land contracts</t>
  </si>
  <si>
    <t>Chile, CLP</t>
  </si>
  <si>
    <t>USD/CLP</t>
  </si>
  <si>
    <t>MXN/CLP</t>
  </si>
  <si>
    <t>US Inflation</t>
  </si>
  <si>
    <t>Chilean inflation</t>
  </si>
  <si>
    <t>Brazilian inflation</t>
  </si>
  <si>
    <t>US inflation</t>
  </si>
  <si>
    <t>Chilean Inflation</t>
  </si>
  <si>
    <t>Infrastructure - Tariff (000's MXN/month)</t>
  </si>
  <si>
    <t>Infrastructure - Tariff (000's CLP/month)</t>
  </si>
  <si>
    <t>Infrastructure - Tariff (000's USD/month)</t>
  </si>
  <si>
    <t>Other countries</t>
  </si>
  <si>
    <t>Other countries, USD</t>
  </si>
  <si>
    <t>Around 10% USD growth</t>
  </si>
  <si>
    <t>H1 21</t>
  </si>
  <si>
    <t>H2 21</t>
  </si>
  <si>
    <t>H1 22</t>
  </si>
  <si>
    <t>H2 22</t>
  </si>
  <si>
    <t>% y/y growth</t>
  </si>
  <si>
    <t>Panama, USD</t>
  </si>
  <si>
    <t>Revenue (MXN)</t>
  </si>
  <si>
    <t>Revenue (USD)</t>
  </si>
  <si>
    <t>% of Tower rent revenue</t>
  </si>
  <si>
    <t>% of sales</t>
  </si>
  <si>
    <t>Lease expenses related to towers</t>
  </si>
  <si>
    <t>% of total lease liabilities</t>
  </si>
  <si>
    <t>Lease assets/tower</t>
  </si>
  <si>
    <t>Lease inflation</t>
  </si>
  <si>
    <t>Rights of use LT liabilities</t>
  </si>
  <si>
    <t>Implied asset life</t>
  </si>
  <si>
    <t>H1 2021</t>
  </si>
  <si>
    <t>H2 2021</t>
  </si>
  <si>
    <t>H1 2022</t>
  </si>
  <si>
    <t>H1 2023</t>
  </si>
  <si>
    <t>H2 2023</t>
  </si>
  <si>
    <t>MXN/USD</t>
  </si>
  <si>
    <t>Questions</t>
  </si>
  <si>
    <t>Contract currency</t>
  </si>
  <si>
    <t>MXN</t>
  </si>
  <si>
    <t>BRL</t>
  </si>
  <si>
    <t>-</t>
  </si>
  <si>
    <t>Guatemala, Costa Rica, El salvador, Honduras, Paraguay, Uruguay, Argentina, Ecuador, Nicaragua and Porto Rico</t>
  </si>
  <si>
    <t>US CPI linked</t>
  </si>
  <si>
    <t>USD</t>
  </si>
  <si>
    <t>UF</t>
  </si>
  <si>
    <t>2%*</t>
  </si>
  <si>
    <t>H1 2022 Revenue</t>
  </si>
  <si>
    <t>Revenue/Tower</t>
  </si>
  <si>
    <t>Group</t>
  </si>
  <si>
    <t>Sites</t>
  </si>
  <si>
    <t>000s</t>
  </si>
  <si>
    <t>TIM decomm.</t>
  </si>
  <si>
    <t>Vivo/Claro decomm.</t>
  </si>
  <si>
    <t>Organic</t>
  </si>
  <si>
    <t>Outlook for tower build (BTS), this year and going forward</t>
  </si>
  <si>
    <t>Co-location rate expectations</t>
  </si>
  <si>
    <t>Why Peru / Dom Rep taken out of portfolio?</t>
  </si>
  <si>
    <t>Market data - country POPs/tower</t>
  </si>
  <si>
    <t>Thoughts on 5G across LatAm / Brazil</t>
  </si>
  <si>
    <t>Revenue / tower – differences across markets</t>
  </si>
  <si>
    <t>What inflation period will be captured in 2023 revenue (YE 22 run-rate?)</t>
  </si>
  <si>
    <t>Thoughts on consolidation and decommissioning in Brazil</t>
  </si>
  <si>
    <t>Deeper dive into tower dynamics in:</t>
  </si>
  <si>
    <t>Additional tenancies…coming on at what rate?</t>
  </si>
  <si>
    <t>Check tower cost (capex build / tower)</t>
  </si>
  <si>
    <t>Dividend expectations</t>
  </si>
  <si>
    <t>Tax expectations today. REIT / Fibra possibility</t>
  </si>
  <si>
    <t>ADR holders…</t>
  </si>
  <si>
    <t>30 days from yesterday to choose cash, or Sitios share</t>
  </si>
  <si>
    <t>Through a depository bank in Mexico</t>
  </si>
  <si>
    <t>Some taxation issues also</t>
  </si>
  <si>
    <t>"Not the right time for US". Stock prices adjust a little at first, first couple of years. Maybe subsequently ADR in 2-3 years</t>
  </si>
  <si>
    <t>A lot more complex</t>
  </si>
  <si>
    <t>Towers in Peru / Dom Rep</t>
  </si>
  <si>
    <t>Very good towers in Dom Rep</t>
  </si>
  <si>
    <t>Will have Dom Rep</t>
  </si>
  <si>
    <t>Sitios also has office also in Peru</t>
  </si>
  <si>
    <t>Will buy little by little in Peru</t>
  </si>
  <si>
    <t>1400-1500 tower per year</t>
  </si>
  <si>
    <t>Dom Rep this year</t>
  </si>
  <si>
    <t>A few portfolios in Peru</t>
  </si>
  <si>
    <t>Close year with 31-32,000</t>
  </si>
  <si>
    <t>Build itself will be minor for 2022</t>
  </si>
  <si>
    <t>Operating independently</t>
  </si>
  <si>
    <t>CEO</t>
  </si>
  <si>
    <t>Gerardo Kuri</t>
  </si>
  <si>
    <t>Peru / Dom Rep - taxation issues</t>
  </si>
  <si>
    <t>Before spin, x2 the tax</t>
  </si>
  <si>
    <t>1,400-1,500</t>
  </si>
  <si>
    <t>Not just AMX BTS</t>
  </si>
  <si>
    <t>Tenancy ratio - 1.19x</t>
  </si>
  <si>
    <t>without Peru towers, inc. Dom Rep</t>
  </si>
  <si>
    <t>Dom Rep is great market - small island…</t>
  </si>
  <si>
    <t>Dom Rep..</t>
  </si>
  <si>
    <t>Rents are high</t>
  </si>
  <si>
    <t>If build what want to, tenancy goes down</t>
  </si>
  <si>
    <t>1 tenant for each 10 towers in the next 5 years</t>
  </si>
  <si>
    <t>To ~1.2x tenancy ratio</t>
  </si>
  <si>
    <t xml:space="preserve">Bulk from AMX </t>
  </si>
  <si>
    <t>Cost R, Nic, close to zero tenants. Brazil ~1.26x tenancy ratio</t>
  </si>
  <si>
    <t>TowerXchange</t>
  </si>
  <si>
    <t>Top 10 towers</t>
  </si>
  <si>
    <t>Will be good for Sitios</t>
  </si>
  <si>
    <t>Not really coverage any more, to do with capacity. Need more densification</t>
  </si>
  <si>
    <t>Towers in urban areas more profitable</t>
  </si>
  <si>
    <t>Mid-term theme</t>
  </si>
  <si>
    <t>AMX prepping for 5G for years, renewed equipment years ago. Minor change in tech in tower, if you have spectrum</t>
  </si>
  <si>
    <t>Smaller cells used, different antennas</t>
  </si>
  <si>
    <t>Tower cos share a lot of information. Share rent in areas/countries</t>
  </si>
  <si>
    <t>Don't want to build near others</t>
  </si>
  <si>
    <t>Charge around 1% of cost of tower</t>
  </si>
  <si>
    <t>$950 per month</t>
  </si>
  <si>
    <t>Cost is similar, $85,000 per tower</t>
  </si>
  <si>
    <t>Checking..</t>
  </si>
  <si>
    <t>Not focusing on Brazil as main growth driver</t>
  </si>
  <si>
    <t>CA</t>
  </si>
  <si>
    <t>Small markets, altogether quite big</t>
  </si>
  <si>
    <t>Election, very high need to new towers</t>
  </si>
  <si>
    <t>Urban areas, more than enough</t>
  </si>
  <si>
    <t>Excess / enough towers in Brazil</t>
  </si>
  <si>
    <t>Some tower growth in Brazil, but expect rest to catch up</t>
  </si>
  <si>
    <t>Will look at opportunities</t>
  </si>
  <si>
    <t>Born with high debt, high leverage ratio</t>
  </si>
  <si>
    <t>Debt</t>
  </si>
  <si>
    <t xml:space="preserve">Bonds, issued by AMX…transferred to </t>
  </si>
  <si>
    <t>No distributions in 3 years</t>
  </si>
  <si>
    <t>6x net debt/EBITDA</t>
  </si>
  <si>
    <t>A lot of tower cos..AMX, then Movistar</t>
  </si>
  <si>
    <t>Not any time soon, Fibra is a Mexican thing</t>
  </si>
  <si>
    <t>Don't own anything in Mexico, will perhaps</t>
  </si>
  <si>
    <t>No steer on taxation</t>
  </si>
  <si>
    <t>Not sure…negotiate individually, may get a discount</t>
  </si>
  <si>
    <t>Goes down typically a little bit</t>
  </si>
  <si>
    <t>As ground rent</t>
  </si>
  <si>
    <t>Sites, 000s</t>
  </si>
  <si>
    <t>Tower Xchange</t>
  </si>
  <si>
    <t>Sitios (average)</t>
  </si>
  <si>
    <t>Dom Rep acquisition</t>
  </si>
  <si>
    <t># of towers</t>
  </si>
  <si>
    <t>Revenue/tower (USD/year)</t>
  </si>
  <si>
    <t>EBITDA margin</t>
  </si>
  <si>
    <t>EV/EBITDA - Acquisition</t>
  </si>
  <si>
    <t>EBITDA (USD/year)</t>
  </si>
  <si>
    <t>EV/tower (USD 000's)</t>
  </si>
  <si>
    <t>Total expenditure (USD 000's)</t>
  </si>
  <si>
    <t>Total expenditure (MXN m)</t>
  </si>
  <si>
    <t>Peru acquisition</t>
  </si>
  <si>
    <t>Market share Brazil</t>
  </si>
  <si>
    <t>Ex-Brazil, Panama, Chile</t>
  </si>
  <si>
    <t>Net adds</t>
  </si>
  <si>
    <t>Acquisition</t>
  </si>
  <si>
    <t>Non-acquistion</t>
  </si>
  <si>
    <t>Net debt/EBITDAaL</t>
  </si>
  <si>
    <t>Local inflation escalator</t>
  </si>
  <si>
    <t>MXN deflator</t>
  </si>
  <si>
    <t>From Brazil escalators</t>
  </si>
  <si>
    <t>From Chile escalators</t>
  </si>
  <si>
    <t>From Panama escalators</t>
  </si>
  <si>
    <t>From USD escalators</t>
  </si>
  <si>
    <t>Total clean growth y/y</t>
  </si>
  <si>
    <t>Clean Tower revs growth</t>
  </si>
  <si>
    <t>Base EBITDA</t>
  </si>
  <si>
    <t>Base Tower revenue</t>
  </si>
  <si>
    <t>margin % total revenue</t>
  </si>
  <si>
    <t>margin % tower revenue</t>
  </si>
  <si>
    <t>From Site additions</t>
  </si>
  <si>
    <t>Underlying adds</t>
  </si>
  <si>
    <t>Vantage</t>
  </si>
  <si>
    <t>Bharti Infratel</t>
  </si>
  <si>
    <t>MXN m</t>
  </si>
  <si>
    <t>EV/revenue</t>
  </si>
  <si>
    <t>SHOUT, millions</t>
  </si>
  <si>
    <t>Market Cap</t>
  </si>
  <si>
    <t>EV/tower ($ 000s)</t>
  </si>
  <si>
    <t>EV</t>
  </si>
  <si>
    <t>P/E</t>
  </si>
  <si>
    <t>EFCF yield</t>
  </si>
  <si>
    <t>Financial metrics, MXN m</t>
  </si>
  <si>
    <t>Financial/Operational</t>
  </si>
  <si>
    <t>Clean EBITDA</t>
  </si>
  <si>
    <t>Co-location rate</t>
  </si>
  <si>
    <t>Total Capex</t>
  </si>
  <si>
    <t>Ground rent per tower, MXN</t>
  </si>
  <si>
    <t>Ground rent per tower, USD</t>
  </si>
  <si>
    <t>EFCF (cash taxes)</t>
  </si>
  <si>
    <t>SHOUT</t>
  </si>
  <si>
    <t>Market cap</t>
  </si>
  <si>
    <t xml:space="preserve">Minority </t>
  </si>
  <si>
    <t>EV (IFRS 16)</t>
  </si>
  <si>
    <t>EV, in USD (today's FX)</t>
  </si>
  <si>
    <t>Average Tower rent/month, MXN</t>
  </si>
  <si>
    <t>Average monthly revenue/tower (MXN)</t>
  </si>
  <si>
    <t>Average monthly revenue/tower (USD)</t>
  </si>
  <si>
    <t>Average Tower rent/month, USD</t>
  </si>
  <si>
    <t>% of EBITDAaL</t>
  </si>
  <si>
    <t>Revenue/site</t>
  </si>
  <si>
    <t>FCF</t>
  </si>
  <si>
    <t>Revenue/site/month</t>
  </si>
  <si>
    <t>IRR (pre-tax)</t>
  </si>
  <si>
    <t>IRR analysis (Sitios)</t>
  </si>
  <si>
    <t>Tax</t>
  </si>
  <si>
    <t>FCF after-tax</t>
  </si>
  <si>
    <t>Model summary</t>
  </si>
  <si>
    <t>Tower adds</t>
  </si>
  <si>
    <t>Commentary</t>
  </si>
  <si>
    <t>Brazil a drag for 1-2 years due to decommissioning</t>
  </si>
  <si>
    <t>5G to support growth in the mid-term</t>
  </si>
  <si>
    <t>Inflation ratchets</t>
  </si>
  <si>
    <t>Revenue/Site (MXN 000s/month)</t>
  </si>
  <si>
    <t>Revenue/site, MXN</t>
  </si>
  <si>
    <t>Revenue/site, USD</t>
  </si>
  <si>
    <t>Tower revenue</t>
  </si>
  <si>
    <t xml:space="preserve">Ground rent </t>
  </si>
  <si>
    <t>Total revenue</t>
  </si>
  <si>
    <t>Pricing linked to local CPI</t>
  </si>
  <si>
    <t>Except Br, Chile, Pan (2% fixed) all pricing linked to US CPI</t>
  </si>
  <si>
    <t>Ground rent is a pass through</t>
  </si>
  <si>
    <t>We assume Dom Rep (1,370) added in late 2022</t>
  </si>
  <si>
    <t>We expect underlying tower adds of 1,000-1,500 per annum</t>
  </si>
  <si>
    <t>We assume Peru (3,687) added through 2023</t>
  </si>
  <si>
    <t>Costs</t>
  </si>
  <si>
    <t>Operational</t>
  </si>
  <si>
    <t>Ground rent</t>
  </si>
  <si>
    <t>as % margin (total revenue)</t>
  </si>
  <si>
    <t>Assumed cost / tower, USD 000s</t>
  </si>
  <si>
    <t>Capex. MXN</t>
  </si>
  <si>
    <t>OpFCF</t>
  </si>
  <si>
    <t>Acquisitions</t>
  </si>
  <si>
    <t>Interest charges</t>
  </si>
  <si>
    <t>Assume 8%</t>
  </si>
  <si>
    <t>Assume 30% effective rate</t>
  </si>
  <si>
    <t>Dividend</t>
  </si>
  <si>
    <t>$85,000 is current steer. Note, Telesites run rate 2 years ago</t>
  </si>
  <si>
    <t>was nearer $100,000 but has since fallen to nearer $50,000</t>
  </si>
  <si>
    <t>suggesting type of tower (rural, urban) is relevant</t>
  </si>
  <si>
    <t>Net financial debt</t>
  </si>
  <si>
    <t>Net financial debt / EBITDAaL</t>
  </si>
  <si>
    <t>Dom Rep and Peru</t>
  </si>
  <si>
    <t>High initial leverage as we saw with Telesites</t>
  </si>
  <si>
    <t>No planned dividends (or buy-backs)</t>
  </si>
  <si>
    <t>% change</t>
  </si>
  <si>
    <t>EV (IAS 17)</t>
  </si>
  <si>
    <t>EV/tower ($ 000s) - IAS 17</t>
  </si>
  <si>
    <t>EV/tenant ($ 000s) - IAS 17</t>
  </si>
  <si>
    <t>EV/tower ($ 000s) - IFRS 16</t>
  </si>
  <si>
    <t>OpFCF / tower, $</t>
  </si>
  <si>
    <t>OpFCF (aL)</t>
  </si>
  <si>
    <t>% margin</t>
  </si>
  <si>
    <t>Capex / tower</t>
  </si>
  <si>
    <t>gap</t>
  </si>
  <si>
    <t>EBITDAaL/tower</t>
  </si>
  <si>
    <t>Number of towers</t>
  </si>
  <si>
    <t>Clean net income</t>
  </si>
  <si>
    <t>% growth</t>
  </si>
  <si>
    <t>Revenue/tower, $ (annual)</t>
  </si>
  <si>
    <t>Revenue/site, MXN per month</t>
  </si>
  <si>
    <t>Q2 22</t>
  </si>
  <si>
    <t>Discount</t>
  </si>
  <si>
    <t>Net debt (financial)</t>
  </si>
  <si>
    <t>22-24e CAGR</t>
  </si>
  <si>
    <t>Leases</t>
  </si>
  <si>
    <t>Lease liability</t>
  </si>
  <si>
    <t>Clean EBITDAaL</t>
  </si>
  <si>
    <t xml:space="preserve"> </t>
  </si>
  <si>
    <t>Effective rate</t>
  </si>
  <si>
    <t xml:space="preserve">EV (USD bn) </t>
  </si>
  <si>
    <t>EBITDAaL per tower, MXN per month</t>
  </si>
  <si>
    <t>Taxed OpFCF (aL) / tower, MXN per month</t>
  </si>
  <si>
    <t>OpFCF (aL) / tower, MXN per month</t>
  </si>
  <si>
    <t>EBITDAaL / tower, MXN per month</t>
  </si>
  <si>
    <t>FCF (after leases), MXN m</t>
  </si>
  <si>
    <t>Equity</t>
  </si>
  <si>
    <t>Range for Sitios on 2023e EBITDAaL</t>
  </si>
  <si>
    <t>Value per LASITE share, MXN</t>
  </si>
  <si>
    <t>23-25E</t>
  </si>
  <si>
    <t>Opsimex / Telesites 2023e multiple (EBITDAaL)</t>
  </si>
  <si>
    <t>Net financial debt (2023e, inc acquisitions)</t>
  </si>
  <si>
    <t>Co-location of ~1.2x to remain relatively steady in early years</t>
  </si>
  <si>
    <t>Price, MXN</t>
  </si>
  <si>
    <t>ROIC</t>
  </si>
  <si>
    <t xml:space="preserve"> - of which leases</t>
  </si>
  <si>
    <t xml:space="preserve"> - of which other</t>
  </si>
  <si>
    <t>% rate</t>
  </si>
  <si>
    <t>Soomit Datta</t>
  </si>
  <si>
    <t>New Street Research</t>
  </si>
  <si>
    <t xml:space="preserve">+44 20 7375 9128 </t>
  </si>
  <si>
    <t>soomit@newstreetresearch.com</t>
  </si>
  <si>
    <t>Ticker</t>
  </si>
  <si>
    <t>Rating</t>
  </si>
  <si>
    <t>Neutral</t>
  </si>
  <si>
    <t>Target Price</t>
  </si>
  <si>
    <t>LASITES</t>
  </si>
  <si>
    <t>MXN 6.6</t>
  </si>
  <si>
    <t>Sitios Latinoamerica (LASITE)</t>
  </si>
  <si>
    <t>Q4 22e</t>
  </si>
  <si>
    <t>Q4 22</t>
  </si>
  <si>
    <t>Tower lease revenue</t>
  </si>
  <si>
    <t>Cenrtal America &amp; Caribbean</t>
  </si>
  <si>
    <t>AUP</t>
  </si>
  <si>
    <t>Andean region</t>
  </si>
  <si>
    <t>margin % on tower lease</t>
  </si>
  <si>
    <t>Tenants</t>
  </si>
  <si>
    <t>Depreciation of RoU</t>
  </si>
  <si>
    <t>Leasing interests</t>
  </si>
  <si>
    <t>Earned interests</t>
  </si>
  <si>
    <t>Deferred tax</t>
  </si>
  <si>
    <t>KPIs</t>
  </si>
  <si>
    <t>Consolidated</t>
  </si>
  <si>
    <t>Land lease revenue</t>
  </si>
  <si>
    <t>Operating costs and expenses</t>
  </si>
  <si>
    <t>Margin on tower lease</t>
  </si>
  <si>
    <t>Margin</t>
  </si>
  <si>
    <t>Andean</t>
  </si>
  <si>
    <t>Central and Caribbean</t>
  </si>
  <si>
    <t>Q3 22</t>
  </si>
  <si>
    <t>H2 2022</t>
  </si>
  <si>
    <t>Q1 22</t>
  </si>
  <si>
    <t>q/q</t>
  </si>
  <si>
    <t>Argentinian Peso</t>
  </si>
  <si>
    <t>Paraguay Guarani</t>
  </si>
  <si>
    <t>Uruguayan Peso</t>
  </si>
  <si>
    <t>Costa Rica Colones</t>
  </si>
  <si>
    <t>Guatemala Quetzals</t>
  </si>
  <si>
    <t>Nicaragua Cordobas</t>
  </si>
  <si>
    <t>Honduras Lempiras</t>
  </si>
  <si>
    <t>Panama Dollars</t>
  </si>
  <si>
    <t>El Salvador Dollars</t>
  </si>
  <si>
    <t>Puerto Rico Dollars</t>
  </si>
  <si>
    <t>Ecuador Dollars</t>
  </si>
  <si>
    <t>Chilean Peso</t>
  </si>
  <si>
    <t>Brazilian Reais</t>
  </si>
  <si>
    <t>Mexican Peso</t>
  </si>
  <si>
    <t>Average FX to USD</t>
  </si>
  <si>
    <t>Average FX to MXN</t>
  </si>
  <si>
    <t>Contribution to total revenue</t>
  </si>
  <si>
    <t>Peruvian</t>
  </si>
  <si>
    <t>Averages</t>
  </si>
  <si>
    <t>Impact</t>
  </si>
  <si>
    <t>Contribution to tower lease revenue</t>
  </si>
  <si>
    <t>Clean</t>
  </si>
  <si>
    <t>Central America &amp; Caribbean</t>
  </si>
  <si>
    <t>diff</t>
  </si>
  <si>
    <t xml:space="preserve"> of which tower</t>
  </si>
  <si>
    <t xml:space="preserve"> of which land</t>
  </si>
  <si>
    <t>OpEx</t>
  </si>
  <si>
    <t>No of towers</t>
  </si>
  <si>
    <t xml:space="preserve">Q4/Q3 </t>
  </si>
  <si>
    <t>H2/H1</t>
  </si>
  <si>
    <t>Tower revenue spit by region</t>
  </si>
  <si>
    <t>Tower revenue per tower</t>
  </si>
  <si>
    <t>MXN million</t>
  </si>
  <si>
    <t>Notes</t>
  </si>
  <si>
    <t xml:space="preserve"> contracts -poss rounding error</t>
  </si>
  <si>
    <t xml:space="preserve">Implied tenancies in Brazil </t>
  </si>
  <si>
    <t>fell but CEO said no loss of</t>
  </si>
  <si>
    <t>Q4 2022 follow up call</t>
  </si>
  <si>
    <t>As new company hard to take control of everything</t>
  </si>
  <si>
    <t>Q3 vs Q4</t>
  </si>
  <si>
    <t>Contracts are in USD mostly</t>
  </si>
  <si>
    <t>FX impact</t>
  </si>
  <si>
    <t>Not just one exchange rate…?</t>
  </si>
  <si>
    <t>Accounting methods</t>
  </si>
  <si>
    <t>Land revenue should move like Tower revenue..?</t>
  </si>
  <si>
    <t>TSA in place…accounting within AMX at the moment</t>
  </si>
  <si>
    <t>Will be some adjustment in coming quarters</t>
  </si>
  <si>
    <t>Revenue should be increasing</t>
  </si>
  <si>
    <t>Dom Republic</t>
  </si>
  <si>
    <t>1300/tenant</t>
  </si>
  <si>
    <t>USD20m EBITDAaL</t>
  </si>
  <si>
    <t>87-90% margins</t>
  </si>
  <si>
    <t>Peru is coming</t>
  </si>
  <si>
    <t>in portfolio</t>
  </si>
  <si>
    <t>not in revenue in Q4</t>
  </si>
  <si>
    <t>&lt;1.0x tenancy ratio…some just finished…have clients/customers</t>
  </si>
  <si>
    <t>which includes the 500</t>
  </si>
  <si>
    <t>march</t>
  </si>
  <si>
    <t>Feb 3rd consolidation</t>
  </si>
  <si>
    <t>$90k per tower</t>
  </si>
  <si>
    <t>1388 towers</t>
  </si>
  <si>
    <t>same will be paid for rest of portfolio</t>
  </si>
  <si>
    <t>$76,000</t>
  </si>
  <si>
    <t>Average rents</t>
  </si>
  <si>
    <t>might initiate ops in Colombia</t>
  </si>
  <si>
    <t>may need to do a BTS at some point in the future, later in 2023 perhaps</t>
  </si>
  <si>
    <t>some efforts on costs and expenses</t>
  </si>
  <si>
    <t>took full control..</t>
  </si>
  <si>
    <t>TSA falling away will save some money</t>
  </si>
  <si>
    <t>typically a little more efficient than using a large corporate</t>
  </si>
  <si>
    <t>Pricing</t>
  </si>
  <si>
    <t>no step change in Dec re pricing</t>
  </si>
  <si>
    <t>Guidance</t>
  </si>
  <si>
    <t>1,500-1,800 tower</t>
  </si>
  <si>
    <t>Brazil and Chile a lot</t>
  </si>
  <si>
    <t>Peru also</t>
  </si>
  <si>
    <t>Leverage</t>
  </si>
  <si>
    <t>Won’t be prepaying debt, don’t have money to do so</t>
  </si>
  <si>
    <t>Target is 4.5x net debt to EBITDAaL, next 3-4 years</t>
  </si>
  <si>
    <t>Gross</t>
  </si>
  <si>
    <t>need to publish gross for the covenants</t>
  </si>
  <si>
    <t>Mexican stock exchange</t>
  </si>
  <si>
    <t>A lot of companies have been leaving</t>
  </si>
  <si>
    <t>Analysts moving from Mexico to Brazil</t>
  </si>
  <si>
    <t>Huge mistake not to have an ADR</t>
  </si>
  <si>
    <t>Q1 23</t>
  </si>
  <si>
    <t>Q2 23</t>
  </si>
  <si>
    <t>Other local taxes</t>
  </si>
  <si>
    <t>Opsimex</t>
  </si>
  <si>
    <t>Q1 21</t>
  </si>
  <si>
    <t>Q2 21</t>
  </si>
  <si>
    <t>Q3 21</t>
  </si>
  <si>
    <t>Q4 21</t>
  </si>
  <si>
    <t>Total Towers</t>
  </si>
  <si>
    <t>Organic net adds</t>
  </si>
  <si>
    <t>Q1 19</t>
  </si>
  <si>
    <t>Q2 19</t>
  </si>
  <si>
    <t>Q3 19</t>
  </si>
  <si>
    <t>Q4 19</t>
  </si>
  <si>
    <t>Q1 20</t>
  </si>
  <si>
    <t>Q2 20</t>
  </si>
  <si>
    <t>Q3 20</t>
  </si>
  <si>
    <t>Q4 20</t>
  </si>
  <si>
    <t>Tenancy ratios</t>
  </si>
  <si>
    <t>Sitios ex M&amp;A</t>
  </si>
  <si>
    <t>Net Debt</t>
  </si>
  <si>
    <t>Net Debt/12m EBITDA</t>
  </si>
  <si>
    <t xml:space="preserve">ND/EBITDaL </t>
  </si>
  <si>
    <t>Share price</t>
  </si>
  <si>
    <t>Mkt cap</t>
  </si>
  <si>
    <t>ND</t>
  </si>
  <si>
    <t>1-Yr forward EV/EBITDA</t>
  </si>
  <si>
    <t>EV/EBITDA-23</t>
  </si>
  <si>
    <t>EV/EBITDA-24</t>
  </si>
  <si>
    <t>EV/EBITDAaL-23</t>
  </si>
  <si>
    <t>Includes towers acquired in the Dominican Republic (1,388 in Feb-23)</t>
  </si>
  <si>
    <t>Includes towers acquired in Peru (2,980 in March-23)</t>
  </si>
  <si>
    <t>1.22x in Q1 23 excluding acquisitions</t>
  </si>
  <si>
    <t>Tower lease revenue per tower</t>
  </si>
  <si>
    <t>Tenant net adds</t>
  </si>
  <si>
    <t>Clean tenant net adds</t>
  </si>
  <si>
    <t>Estimate of UL revenue g</t>
  </si>
  <si>
    <t>Clean tower net adds</t>
  </si>
  <si>
    <t>Sequential Growth in tower lease rev per tower</t>
  </si>
  <si>
    <t>Clean towers</t>
  </si>
  <si>
    <t>Sequntial g in towers</t>
  </si>
  <si>
    <t>Estimated UL growth</t>
  </si>
  <si>
    <t>QoQ</t>
  </si>
  <si>
    <t>Clean tower QoQ</t>
  </si>
  <si>
    <t>Organic tower net adds</t>
  </si>
  <si>
    <t>QoQ U/L</t>
  </si>
  <si>
    <t>Tower lease revenue/tower/month (MXN)</t>
  </si>
  <si>
    <t>22-25 EBITDA CAGR</t>
  </si>
  <si>
    <t>Indus Towers</t>
  </si>
  <si>
    <t>Sitios trading EV</t>
  </si>
  <si>
    <t>Telesites trading EV</t>
  </si>
  <si>
    <t>Q3 23</t>
  </si>
  <si>
    <t>Q4 23</t>
  </si>
  <si>
    <t>Tenacy ratio QoQ</t>
  </si>
  <si>
    <t>Caribbean</t>
  </si>
  <si>
    <t>Central</t>
  </si>
  <si>
    <t>Other local tax</t>
  </si>
  <si>
    <t>2024 net debt (inc acquisitions)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</si>
</sst>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
    <numFmt numFmtId="166" formatCode="_-* #,##0_-;\-* #,##0_-;_-* &quot;-&quot;??_-;_-@_-"/>
    <numFmt numFmtId="167" formatCode="#,##0.0"/>
    <numFmt numFmtId="168" formatCode="_-* #,##0.0_-;\-* #,##0.0_-;_-* &quot;-&quot;??_-;_-@_-"/>
    <numFmt numFmtId="169" formatCode="0.00\x"/>
    <numFmt numFmtId="170" formatCode="#,##0_);\(#,##0\);#,##0_);@_)"/>
    <numFmt numFmtId="171" formatCode="_(* #,##0.00_);_(* \(#,##0.00\);_(* &quot;-&quot;??_);_(@_)"/>
    <numFmt numFmtId="172" formatCode="&quot;$&quot;#,##0_);[Red]\(&quot;$&quot;#,##0\)"/>
    <numFmt numFmtId="173" formatCode="#,##0.000"/>
    <numFmt numFmtId="174" formatCode="0.0\x"/>
    <numFmt numFmtId="175" formatCode="0.000"/>
  </numFmts>
  <fonts count="49" x14ac:knownFonts="1">
    <font>
      <sz val="11"/>
      <color theme="1"/>
      <name val="Calibri"/>
      <family val="2"/>
      <scheme val="minor"/>
    </font>
    <font>
      <sz val="11"/>
      <color theme="1"/>
      <name val="Calibri"/>
      <family val="2"/>
      <scheme val="minor"/>
    </font>
    <font>
      <sz val="10"/>
      <name val="Arial"/>
      <family val="2"/>
    </font>
    <font>
      <b/>
      <sz val="10"/>
      <name val="Trebuchet MS"/>
      <family val="2"/>
    </font>
    <font>
      <sz val="10"/>
      <name val="Trebuchet MS"/>
      <family val="2"/>
    </font>
    <font>
      <b/>
      <sz val="9"/>
      <color indexed="81"/>
      <name val="Tahoma"/>
      <family val="2"/>
    </font>
    <font>
      <sz val="9"/>
      <color indexed="81"/>
      <name val="Tahoma"/>
      <family val="2"/>
    </font>
    <font>
      <sz val="10"/>
      <color theme="1"/>
      <name val="Trebuchet MS"/>
      <family val="2"/>
    </font>
    <font>
      <sz val="10"/>
      <name val="Roboto"/>
    </font>
    <font>
      <sz val="11"/>
      <color theme="1"/>
      <name val="Roboto"/>
    </font>
    <font>
      <b/>
      <sz val="10"/>
      <color theme="1"/>
      <name val="Roboto"/>
    </font>
    <font>
      <sz val="10"/>
      <color theme="1"/>
      <name val="Roboto"/>
    </font>
    <font>
      <b/>
      <sz val="11"/>
      <color theme="1"/>
      <name val="Roboto"/>
    </font>
    <font>
      <sz val="8"/>
      <name val="Calibri"/>
      <family val="2"/>
      <scheme val="minor"/>
    </font>
    <font>
      <b/>
      <u/>
      <sz val="11"/>
      <color theme="1"/>
      <name val="Roboto"/>
    </font>
    <font>
      <b/>
      <u/>
      <sz val="10"/>
      <color theme="1"/>
      <name val="Roboto"/>
    </font>
    <font>
      <u/>
      <sz val="11"/>
      <color theme="1"/>
      <name val="Roboto"/>
    </font>
    <font>
      <i/>
      <sz val="11"/>
      <color theme="1"/>
      <name val="Roboto"/>
    </font>
    <font>
      <sz val="9"/>
      <color theme="1"/>
      <name val="Calibri"/>
      <family val="2"/>
    </font>
    <font>
      <sz val="10"/>
      <color indexed="8"/>
      <name val="Calibri"/>
      <family val="2"/>
    </font>
    <font>
      <sz val="8"/>
      <name val="Calibri"/>
      <family val="2"/>
    </font>
    <font>
      <b/>
      <sz val="18"/>
      <name val="Calibri"/>
      <family val="2"/>
    </font>
    <font>
      <sz val="9"/>
      <name val="Calibri"/>
      <family val="2"/>
    </font>
    <font>
      <sz val="10"/>
      <name val="Calibri"/>
      <family val="2"/>
    </font>
    <font>
      <b/>
      <sz val="10"/>
      <name val="Calibri"/>
      <family val="2"/>
    </font>
    <font>
      <i/>
      <sz val="10"/>
      <name val="Calibri"/>
      <family val="2"/>
    </font>
    <font>
      <b/>
      <i/>
      <sz val="9"/>
      <name val="Calibri"/>
      <family val="2"/>
    </font>
    <font>
      <sz val="9"/>
      <color theme="1"/>
      <name val="Calibri"/>
      <family val="2"/>
      <scheme val="minor"/>
    </font>
    <font>
      <b/>
      <sz val="10"/>
      <name val="Roboto"/>
    </font>
    <font>
      <sz val="10"/>
      <color rgb="FF0000FF"/>
      <name val="Roboto"/>
    </font>
    <font>
      <b/>
      <sz val="10"/>
      <color rgb="FF0000FF"/>
      <name val="Roboto"/>
    </font>
    <font>
      <b/>
      <u/>
      <sz val="11"/>
      <color theme="1"/>
      <name val="Calibri"/>
      <family val="2"/>
      <scheme val="minor"/>
    </font>
    <font>
      <b/>
      <sz val="11"/>
      <color theme="1"/>
      <name val="Calibri"/>
      <family val="2"/>
      <scheme val="minor"/>
    </font>
    <font>
      <sz val="11"/>
      <color rgb="FF00B0F0"/>
      <name val="Calibri"/>
      <family val="2"/>
      <scheme val="minor"/>
    </font>
    <font>
      <sz val="11"/>
      <color rgb="FF0000FF"/>
      <name val="Calibri"/>
      <family val="2"/>
      <scheme val="minor"/>
    </font>
    <font>
      <sz val="11"/>
      <name val="Calibri"/>
      <family val="2"/>
      <scheme val="minor"/>
    </font>
    <font>
      <b/>
      <sz val="12"/>
      <color theme="1"/>
      <name val="Roboto"/>
    </font>
    <font>
      <sz val="12"/>
      <color theme="1"/>
      <name val="Roboto"/>
    </font>
    <font>
      <b/>
      <sz val="11"/>
      <name val="Roboto"/>
    </font>
    <font>
      <b/>
      <sz val="11"/>
      <color theme="0"/>
      <name val="Roboto"/>
    </font>
    <font>
      <sz val="11"/>
      <name val="Roboto"/>
    </font>
    <font>
      <b/>
      <sz val="11"/>
      <color rgb="FF0000FF"/>
      <name val="Roboto"/>
    </font>
    <font>
      <sz val="11"/>
      <color rgb="FF0000FF"/>
      <name val="Roboto"/>
    </font>
    <font>
      <sz val="11"/>
      <color theme="3" tint="0.39997558519241921"/>
      <name val="Roboto"/>
    </font>
    <font>
      <sz val="11"/>
      <color theme="4"/>
      <name val="Roboto"/>
    </font>
    <font>
      <sz val="11"/>
      <color theme="4" tint="0.39997558519241921"/>
      <name val="Roboto"/>
    </font>
    <font>
      <sz val="11"/>
      <color theme="8" tint="-0.249977111117893"/>
      <name val="Roboto"/>
    </font>
    <font>
      <b/>
      <sz val="11"/>
      <color theme="8" tint="-0.249977111117893"/>
      <name val="Roboto"/>
    </font>
    <font>
      <sz val="11"/>
      <color theme="8"/>
      <name val="Roboto"/>
    </font>
  </fonts>
  <fills count="2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rgb="FF92D050"/>
        <bgColor indexed="64"/>
      </patternFill>
    </fill>
    <fill>
      <patternFill patternType="solid">
        <fgColor indexed="65"/>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E6B3FF"/>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theme="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8">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xf numFmtId="0" fontId="4" fillId="0" borderId="0"/>
    <xf numFmtId="0" fontId="4" fillId="0" borderId="0"/>
    <xf numFmtId="0" fontId="18" fillId="0" borderId="0"/>
    <xf numFmtId="171" fontId="18" fillId="0" borderId="0" applyFont="0" applyFill="0" applyBorder="0" applyAlignment="0" applyProtection="0"/>
  </cellStyleXfs>
  <cellXfs count="407">
    <xf numFmtId="0" fontId="0" fillId="0" borderId="0" xfId="0"/>
    <xf numFmtId="0" fontId="3" fillId="0" borderId="1" xfId="2" applyFont="1" applyBorder="1"/>
    <xf numFmtId="0" fontId="4" fillId="0" borderId="0" xfId="2" applyFont="1"/>
    <xf numFmtId="0" fontId="7" fillId="0" borderId="0" xfId="0" applyFont="1"/>
    <xf numFmtId="17" fontId="0" fillId="0" borderId="0" xfId="0" applyNumberFormat="1"/>
    <xf numFmtId="0" fontId="8" fillId="0" borderId="0" xfId="2" applyFont="1"/>
    <xf numFmtId="0" fontId="9" fillId="0" borderId="0" xfId="0" applyFont="1"/>
    <xf numFmtId="2" fontId="9" fillId="0" borderId="0" xfId="0" applyNumberFormat="1" applyFont="1"/>
    <xf numFmtId="167" fontId="9" fillId="0" borderId="0" xfId="0" applyNumberFormat="1" applyFont="1"/>
    <xf numFmtId="0" fontId="10" fillId="0" borderId="0" xfId="0" applyFont="1"/>
    <xf numFmtId="0" fontId="11" fillId="0" borderId="0" xfId="0" applyFont="1"/>
    <xf numFmtId="166" fontId="11" fillId="0" borderId="0" xfId="3" applyNumberFormat="1" applyFont="1"/>
    <xf numFmtId="3" fontId="9" fillId="0" borderId="0" xfId="0" applyNumberFormat="1" applyFont="1"/>
    <xf numFmtId="165" fontId="9" fillId="0" borderId="0" xfId="1" applyNumberFormat="1" applyFont="1"/>
    <xf numFmtId="4" fontId="9" fillId="0" borderId="0" xfId="0" applyNumberFormat="1" applyFont="1"/>
    <xf numFmtId="165" fontId="9" fillId="0" borderId="0" xfId="0" applyNumberFormat="1" applyFont="1"/>
    <xf numFmtId="0" fontId="9" fillId="0" borderId="0" xfId="0" applyFont="1" applyAlignment="1">
      <alignment horizontal="center"/>
    </xf>
    <xf numFmtId="0" fontId="9" fillId="0" borderId="0" xfId="0" applyFont="1" applyAlignment="1">
      <alignment horizontal="center" wrapText="1"/>
    </xf>
    <xf numFmtId="0" fontId="9" fillId="0" borderId="0" xfId="0" applyFont="1" applyAlignment="1">
      <alignment wrapText="1"/>
    </xf>
    <xf numFmtId="0" fontId="12" fillId="0" borderId="4" xfId="0" applyFont="1" applyBorder="1" applyAlignment="1">
      <alignment wrapText="1"/>
    </xf>
    <xf numFmtId="0" fontId="12" fillId="0" borderId="0" xfId="0" applyFont="1"/>
    <xf numFmtId="9" fontId="9" fillId="0" borderId="0" xfId="0" applyNumberFormat="1" applyFont="1"/>
    <xf numFmtId="0" fontId="9" fillId="0" borderId="0" xfId="0" applyFont="1" applyAlignment="1">
      <alignment horizontal="right"/>
    </xf>
    <xf numFmtId="9" fontId="0" fillId="0" borderId="0" xfId="0" applyNumberFormat="1"/>
    <xf numFmtId="0" fontId="9" fillId="0" borderId="1" xfId="0" applyFont="1" applyBorder="1"/>
    <xf numFmtId="164" fontId="9" fillId="0" borderId="0" xfId="0" applyNumberFormat="1" applyFont="1"/>
    <xf numFmtId="1" fontId="9" fillId="0" borderId="0" xfId="0" applyNumberFormat="1" applyFont="1"/>
    <xf numFmtId="3" fontId="0" fillId="0" borderId="0" xfId="0" applyNumberFormat="1"/>
    <xf numFmtId="0" fontId="9" fillId="0" borderId="0" xfId="0" applyFont="1" applyAlignment="1">
      <alignment horizontal="center" vertical="center" wrapText="1"/>
    </xf>
    <xf numFmtId="165" fontId="9" fillId="0" borderId="0" xfId="0" applyNumberFormat="1" applyFont="1" applyAlignment="1">
      <alignment horizontal="center" vertical="center" wrapText="1"/>
    </xf>
    <xf numFmtId="0" fontId="9" fillId="3" borderId="1" xfId="0" applyFont="1" applyFill="1" applyBorder="1" applyAlignment="1">
      <alignment horizontal="center" vertical="center" wrapText="1"/>
    </xf>
    <xf numFmtId="165" fontId="9" fillId="3" borderId="1"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9" fontId="9" fillId="0" borderId="0" xfId="0" applyNumberFormat="1" applyFont="1" applyAlignment="1">
      <alignment horizontal="center" vertical="center" wrapText="1"/>
    </xf>
    <xf numFmtId="3" fontId="12" fillId="0" borderId="0" xfId="0" applyNumberFormat="1" applyFont="1"/>
    <xf numFmtId="164" fontId="9" fillId="0" borderId="0" xfId="0" applyNumberFormat="1" applyFont="1" applyAlignment="1">
      <alignment horizontal="center"/>
    </xf>
    <xf numFmtId="0" fontId="9" fillId="0" borderId="0" xfId="0" applyFont="1" applyAlignment="1">
      <alignment horizontal="left" vertical="center" indent="1"/>
    </xf>
    <xf numFmtId="0" fontId="9" fillId="0" borderId="0" xfId="0" applyFont="1" applyAlignment="1">
      <alignment horizontal="left" vertical="center" indent="2"/>
    </xf>
    <xf numFmtId="0" fontId="14" fillId="0" borderId="0" xfId="0" applyFont="1"/>
    <xf numFmtId="0" fontId="9" fillId="0" borderId="0" xfId="0" applyFont="1" applyAlignment="1">
      <alignment horizontal="left"/>
    </xf>
    <xf numFmtId="167" fontId="9" fillId="0" borderId="0" xfId="0" applyNumberFormat="1" applyFont="1" applyAlignment="1">
      <alignment horizontal="center"/>
    </xf>
    <xf numFmtId="169" fontId="9" fillId="0" borderId="0" xfId="0" applyNumberFormat="1" applyFont="1"/>
    <xf numFmtId="16" fontId="10" fillId="0" borderId="7" xfId="0" applyNumberFormat="1" applyFont="1" applyBorder="1"/>
    <xf numFmtId="1" fontId="10" fillId="0" borderId="7" xfId="0" applyNumberFormat="1" applyFont="1" applyBorder="1"/>
    <xf numFmtId="0" fontId="11" fillId="0" borderId="0" xfId="5" applyFont="1" applyAlignment="1">
      <alignment horizontal="right"/>
    </xf>
    <xf numFmtId="0" fontId="11" fillId="4" borderId="6" xfId="0" applyFont="1" applyFill="1" applyBorder="1" applyAlignment="1">
      <alignment horizontal="left" vertical="center"/>
    </xf>
    <xf numFmtId="167" fontId="11" fillId="4" borderId="6" xfId="0" applyNumberFormat="1" applyFont="1" applyFill="1" applyBorder="1" applyAlignment="1">
      <alignment horizontal="right" vertical="center"/>
    </xf>
    <xf numFmtId="3" fontId="11" fillId="4" borderId="6" xfId="0" applyNumberFormat="1" applyFont="1" applyFill="1" applyBorder="1" applyAlignment="1">
      <alignment horizontal="right" vertical="center"/>
    </xf>
    <xf numFmtId="0" fontId="11" fillId="4" borderId="6" xfId="0" applyFont="1" applyFill="1" applyBorder="1" applyAlignment="1">
      <alignment horizontal="right" vertical="center"/>
    </xf>
    <xf numFmtId="0" fontId="11" fillId="0" borderId="0" xfId="5" applyFont="1"/>
    <xf numFmtId="0" fontId="11" fillId="4" borderId="0" xfId="0" applyFont="1" applyFill="1" applyAlignment="1">
      <alignment horizontal="left" vertical="center"/>
    </xf>
    <xf numFmtId="3" fontId="11" fillId="4" borderId="0" xfId="0" applyNumberFormat="1" applyFont="1" applyFill="1" applyAlignment="1">
      <alignment horizontal="right" vertical="center"/>
    </xf>
    <xf numFmtId="0" fontId="11" fillId="4" borderId="0" xfId="0" applyFont="1" applyFill="1" applyAlignment="1">
      <alignment horizontal="right" vertical="center"/>
    </xf>
    <xf numFmtId="167" fontId="11" fillId="4" borderId="0" xfId="0" applyNumberFormat="1" applyFont="1" applyFill="1" applyAlignment="1">
      <alignment horizontal="right" vertical="center"/>
    </xf>
    <xf numFmtId="9" fontId="11" fillId="4" borderId="0" xfId="1" applyFont="1" applyFill="1" applyBorder="1" applyAlignment="1">
      <alignment horizontal="right" vertical="center"/>
    </xf>
    <xf numFmtId="165" fontId="11" fillId="0" borderId="0" xfId="5" applyNumberFormat="1" applyFont="1"/>
    <xf numFmtId="0" fontId="11" fillId="3" borderId="0" xfId="0" applyFont="1" applyFill="1" applyAlignment="1">
      <alignment horizontal="left" vertical="center"/>
    </xf>
    <xf numFmtId="3" fontId="11" fillId="3" borderId="0" xfId="0" applyNumberFormat="1" applyFont="1" applyFill="1" applyAlignment="1">
      <alignment horizontal="right" vertical="center"/>
    </xf>
    <xf numFmtId="9" fontId="11" fillId="3" borderId="0" xfId="1" applyFont="1" applyFill="1" applyBorder="1" applyAlignment="1">
      <alignment horizontal="right" vertical="center"/>
    </xf>
    <xf numFmtId="0" fontId="11" fillId="3" borderId="0" xfId="0" applyFont="1" applyFill="1" applyAlignment="1">
      <alignment horizontal="right" vertical="center"/>
    </xf>
    <xf numFmtId="1" fontId="0" fillId="0" borderId="0" xfId="0" applyNumberFormat="1"/>
    <xf numFmtId="164" fontId="0" fillId="0" borderId="0" xfId="0" applyNumberFormat="1"/>
    <xf numFmtId="166" fontId="9" fillId="0" borderId="0" xfId="0" applyNumberFormat="1" applyFont="1"/>
    <xf numFmtId="169" fontId="9" fillId="0" borderId="0" xfId="0" applyNumberFormat="1" applyFont="1" applyAlignment="1">
      <alignment horizontal="left"/>
    </xf>
    <xf numFmtId="0" fontId="16" fillId="0" borderId="0" xfId="0" applyFont="1"/>
    <xf numFmtId="3" fontId="9" fillId="0" borderId="0" xfId="0" applyNumberFormat="1" applyFont="1" applyAlignment="1">
      <alignment horizontal="right"/>
    </xf>
    <xf numFmtId="0" fontId="12" fillId="0" borderId="1" xfId="0" applyFont="1" applyBorder="1"/>
    <xf numFmtId="3" fontId="9" fillId="0" borderId="1" xfId="0" applyNumberFormat="1" applyFont="1" applyBorder="1" applyAlignment="1">
      <alignment horizontal="right"/>
    </xf>
    <xf numFmtId="165" fontId="9" fillId="0" borderId="0" xfId="0" applyNumberFormat="1" applyFont="1" applyAlignment="1">
      <alignment horizontal="right"/>
    </xf>
    <xf numFmtId="0" fontId="12" fillId="0" borderId="1" xfId="0" applyFont="1" applyBorder="1" applyAlignment="1">
      <alignment horizontal="right"/>
    </xf>
    <xf numFmtId="0" fontId="9" fillId="3" borderId="0" xfId="0" applyFont="1" applyFill="1"/>
    <xf numFmtId="3" fontId="9" fillId="3" borderId="0" xfId="0" applyNumberFormat="1" applyFont="1" applyFill="1" applyAlignment="1">
      <alignment horizontal="right"/>
    </xf>
    <xf numFmtId="0" fontId="9" fillId="3" borderId="0" xfId="0" applyFont="1" applyFill="1" applyAlignment="1">
      <alignment horizontal="right"/>
    </xf>
    <xf numFmtId="169" fontId="9" fillId="3" borderId="0" xfId="0" applyNumberFormat="1" applyFont="1" applyFill="1" applyAlignment="1">
      <alignment horizontal="right"/>
    </xf>
    <xf numFmtId="0" fontId="16" fillId="3" borderId="0" xfId="0" applyFont="1" applyFill="1"/>
    <xf numFmtId="165" fontId="9" fillId="3" borderId="0" xfId="0" applyNumberFormat="1" applyFont="1" applyFill="1"/>
    <xf numFmtId="169" fontId="9" fillId="0" borderId="0" xfId="0" applyNumberFormat="1" applyFont="1" applyAlignment="1">
      <alignment horizontal="right"/>
    </xf>
    <xf numFmtId="0" fontId="17" fillId="0" borderId="0" xfId="0" applyFont="1"/>
    <xf numFmtId="3" fontId="17" fillId="0" borderId="0" xfId="0" applyNumberFormat="1" applyFont="1"/>
    <xf numFmtId="3" fontId="17" fillId="0" borderId="0" xfId="0" applyNumberFormat="1" applyFont="1" applyAlignment="1">
      <alignment horizontal="right"/>
    </xf>
    <xf numFmtId="9" fontId="17" fillId="0" borderId="0" xfId="0" applyNumberFormat="1" applyFont="1"/>
    <xf numFmtId="0" fontId="9" fillId="0" borderId="1" xfId="0" applyFont="1" applyBorder="1" applyAlignment="1">
      <alignment horizontal="center"/>
    </xf>
    <xf numFmtId="0" fontId="11" fillId="0" borderId="0" xfId="0" applyFont="1" applyAlignment="1">
      <alignment horizontal="lef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11" fillId="0" borderId="1" xfId="0" applyFont="1" applyBorder="1" applyAlignment="1">
      <alignment horizontal="left" vertical="center"/>
    </xf>
    <xf numFmtId="3" fontId="11" fillId="0" borderId="1" xfId="0" applyNumberFormat="1" applyFont="1" applyBorder="1" applyAlignment="1">
      <alignment horizontal="right" vertical="center"/>
    </xf>
    <xf numFmtId="0" fontId="15" fillId="0" borderId="0" xfId="0" applyFont="1" applyAlignment="1">
      <alignment horizontal="left" vertical="center"/>
    </xf>
    <xf numFmtId="9" fontId="11" fillId="0" borderId="0" xfId="1" applyFont="1" applyFill="1" applyBorder="1" applyAlignment="1">
      <alignment horizontal="right" vertical="center"/>
    </xf>
    <xf numFmtId="0" fontId="11" fillId="0" borderId="1" xfId="0" applyFont="1" applyBorder="1" applyAlignment="1">
      <alignment horizontal="right" vertical="center"/>
    </xf>
    <xf numFmtId="167" fontId="11" fillId="3" borderId="0" xfId="0" applyNumberFormat="1" applyFont="1" applyFill="1" applyAlignment="1">
      <alignment horizontal="right" vertical="center"/>
    </xf>
    <xf numFmtId="1" fontId="11" fillId="4" borderId="0" xfId="0" applyNumberFormat="1" applyFont="1" applyFill="1" applyAlignment="1">
      <alignment horizontal="right" vertical="center"/>
    </xf>
    <xf numFmtId="167" fontId="11" fillId="0" borderId="0" xfId="0" applyNumberFormat="1" applyFont="1" applyAlignment="1">
      <alignment horizontal="right" vertical="center"/>
    </xf>
    <xf numFmtId="165" fontId="11" fillId="0" borderId="0" xfId="0" applyNumberFormat="1" applyFont="1" applyAlignment="1">
      <alignment horizontal="right" vertical="center"/>
    </xf>
    <xf numFmtId="4" fontId="11" fillId="0" borderId="0" xfId="0" applyNumberFormat="1" applyFont="1" applyAlignment="1">
      <alignment horizontal="right" vertical="center"/>
    </xf>
    <xf numFmtId="167" fontId="11" fillId="0" borderId="1" xfId="0" applyNumberFormat="1" applyFont="1" applyBorder="1" applyAlignment="1">
      <alignment horizontal="right" vertical="center"/>
    </xf>
    <xf numFmtId="3" fontId="9" fillId="2" borderId="0" xfId="0" applyNumberFormat="1" applyFont="1" applyFill="1"/>
    <xf numFmtId="0" fontId="12" fillId="0" borderId="0" xfId="0" applyFont="1" applyAlignment="1">
      <alignment horizontal="left"/>
    </xf>
    <xf numFmtId="3" fontId="12" fillId="0" borderId="0" xfId="0" applyNumberFormat="1" applyFont="1" applyAlignment="1">
      <alignment horizontal="right"/>
    </xf>
    <xf numFmtId="167" fontId="12" fillId="0" borderId="0" xfId="0" applyNumberFormat="1" applyFont="1" applyAlignment="1">
      <alignment horizontal="right"/>
    </xf>
    <xf numFmtId="0" fontId="12" fillId="0" borderId="9" xfId="0" applyFont="1" applyBorder="1"/>
    <xf numFmtId="3" fontId="12" fillId="0" borderId="10" xfId="0" applyNumberFormat="1" applyFont="1" applyBorder="1" applyAlignment="1">
      <alignment horizontal="right"/>
    </xf>
    <xf numFmtId="167" fontId="12" fillId="0" borderId="10" xfId="0" applyNumberFormat="1" applyFont="1" applyBorder="1" applyAlignment="1">
      <alignment horizontal="right"/>
    </xf>
    <xf numFmtId="167" fontId="12" fillId="0" borderId="11" xfId="0" applyNumberFormat="1" applyFont="1" applyBorder="1" applyAlignment="1">
      <alignment horizontal="right"/>
    </xf>
    <xf numFmtId="167" fontId="12" fillId="3" borderId="12" xfId="0" applyNumberFormat="1" applyFont="1" applyFill="1" applyBorder="1" applyAlignment="1">
      <alignment horizontal="right"/>
    </xf>
    <xf numFmtId="167" fontId="12" fillId="3" borderId="13" xfId="0" applyNumberFormat="1" applyFont="1" applyFill="1" applyBorder="1" applyAlignment="1">
      <alignment horizontal="right"/>
    </xf>
    <xf numFmtId="3" fontId="9" fillId="3" borderId="14" xfId="0" applyNumberFormat="1" applyFont="1" applyFill="1" applyBorder="1" applyAlignment="1">
      <alignment horizontal="right"/>
    </xf>
    <xf numFmtId="3" fontId="9" fillId="3" borderId="15" xfId="0" applyNumberFormat="1" applyFont="1" applyFill="1" applyBorder="1" applyAlignment="1">
      <alignment horizontal="right"/>
    </xf>
    <xf numFmtId="167" fontId="12" fillId="3" borderId="9" xfId="0" applyNumberFormat="1" applyFont="1" applyFill="1" applyBorder="1" applyAlignment="1">
      <alignment horizontal="right"/>
    </xf>
    <xf numFmtId="167" fontId="12" fillId="3" borderId="11" xfId="0" applyNumberFormat="1" applyFont="1" applyFill="1" applyBorder="1" applyAlignment="1">
      <alignment horizontal="right"/>
    </xf>
    <xf numFmtId="167" fontId="9" fillId="3" borderId="8" xfId="0" applyNumberFormat="1" applyFont="1" applyFill="1" applyBorder="1" applyAlignment="1">
      <alignment horizontal="right"/>
    </xf>
    <xf numFmtId="164" fontId="9" fillId="2" borderId="0" xfId="0" applyNumberFormat="1" applyFont="1" applyFill="1"/>
    <xf numFmtId="165" fontId="9" fillId="5" borderId="0" xfId="0" applyNumberFormat="1" applyFont="1" applyFill="1"/>
    <xf numFmtId="0" fontId="19" fillId="6" borderId="16" xfId="6" applyFont="1" applyFill="1" applyBorder="1"/>
    <xf numFmtId="0" fontId="20" fillId="6" borderId="16" xfId="6" applyFont="1" applyFill="1" applyBorder="1"/>
    <xf numFmtId="0" fontId="18" fillId="0" borderId="0" xfId="6"/>
    <xf numFmtId="0" fontId="20" fillId="6" borderId="0" xfId="6" applyFont="1" applyFill="1"/>
    <xf numFmtId="0" fontId="21" fillId="6" borderId="0" xfId="6" applyFont="1" applyFill="1"/>
    <xf numFmtId="14" fontId="22" fillId="6" borderId="0" xfId="6" applyNumberFormat="1" applyFont="1" applyFill="1" applyAlignment="1">
      <alignment horizontal="left"/>
    </xf>
    <xf numFmtId="0" fontId="23" fillId="6" borderId="0" xfId="6" applyFont="1" applyFill="1"/>
    <xf numFmtId="170" fontId="20" fillId="6" borderId="0" xfId="6" applyNumberFormat="1" applyFont="1" applyFill="1"/>
    <xf numFmtId="0" fontId="24" fillId="6" borderId="0" xfId="6" applyFont="1" applyFill="1"/>
    <xf numFmtId="0" fontId="18" fillId="6" borderId="0" xfId="6" applyFill="1"/>
    <xf numFmtId="0" fontId="25" fillId="6" borderId="0" xfId="6" applyFont="1" applyFill="1"/>
    <xf numFmtId="0" fontId="23" fillId="6" borderId="0" xfId="6" quotePrefix="1" applyFont="1" applyFill="1"/>
    <xf numFmtId="0" fontId="22" fillId="6" borderId="0" xfId="6" applyFont="1" applyFill="1"/>
    <xf numFmtId="0" fontId="26" fillId="6" borderId="0" xfId="6" applyFont="1" applyFill="1"/>
    <xf numFmtId="0" fontId="20" fillId="6" borderId="0" xfId="7" applyNumberFormat="1" applyFont="1" applyFill="1"/>
    <xf numFmtId="0" fontId="22" fillId="6" borderId="0" xfId="6" applyFont="1" applyFill="1" applyAlignment="1">
      <alignment horizontal="right"/>
    </xf>
    <xf numFmtId="0" fontId="22" fillId="0" borderId="0" xfId="6" applyFont="1" applyAlignment="1">
      <alignment horizontal="right"/>
    </xf>
    <xf numFmtId="172" fontId="27" fillId="0" borderId="0" xfId="6" applyNumberFormat="1" applyFont="1" applyAlignment="1">
      <alignment horizontal="right"/>
    </xf>
    <xf numFmtId="37" fontId="22" fillId="6" borderId="0" xfId="6" applyNumberFormat="1" applyFont="1" applyFill="1"/>
    <xf numFmtId="9" fontId="11" fillId="0" borderId="0" xfId="0" applyNumberFormat="1" applyFont="1"/>
    <xf numFmtId="165" fontId="11" fillId="0" borderId="0" xfId="0" applyNumberFormat="1" applyFont="1"/>
    <xf numFmtId="0" fontId="8" fillId="0" borderId="0" xfId="2" applyFont="1" applyAlignment="1">
      <alignment horizontal="center"/>
    </xf>
    <xf numFmtId="0" fontId="28" fillId="0" borderId="4" xfId="2" applyFont="1" applyBorder="1" applyAlignment="1">
      <alignment horizontal="center"/>
    </xf>
    <xf numFmtId="0" fontId="11" fillId="0" borderId="0" xfId="0" applyFont="1" applyAlignment="1">
      <alignment horizontal="center"/>
    </xf>
    <xf numFmtId="3" fontId="10" fillId="0" borderId="0" xfId="0" applyNumberFormat="1" applyFont="1" applyAlignment="1">
      <alignment horizontal="center"/>
    </xf>
    <xf numFmtId="3" fontId="11" fillId="0" borderId="0" xfId="0" applyNumberFormat="1" applyFont="1" applyAlignment="1">
      <alignment horizontal="center"/>
    </xf>
    <xf numFmtId="9" fontId="11" fillId="0" borderId="0" xfId="0" applyNumberFormat="1" applyFont="1" applyAlignment="1">
      <alignment horizontal="center"/>
    </xf>
    <xf numFmtId="165" fontId="11" fillId="0" borderId="0" xfId="0" applyNumberFormat="1" applyFont="1" applyAlignment="1">
      <alignment horizontal="center"/>
    </xf>
    <xf numFmtId="1" fontId="11" fillId="0" borderId="0" xfId="0" applyNumberFormat="1" applyFont="1" applyAlignment="1">
      <alignment horizontal="center"/>
    </xf>
    <xf numFmtId="0" fontId="0" fillId="0" borderId="0" xfId="0" applyAlignment="1">
      <alignment horizontal="center"/>
    </xf>
    <xf numFmtId="3" fontId="29" fillId="0" borderId="0" xfId="0" applyNumberFormat="1" applyFont="1" applyAlignment="1">
      <alignment horizontal="center"/>
    </xf>
    <xf numFmtId="4" fontId="30" fillId="0" borderId="0" xfId="0" applyNumberFormat="1" applyFont="1" applyAlignment="1">
      <alignment horizontal="center"/>
    </xf>
    <xf numFmtId="4" fontId="29" fillId="0" borderId="0" xfId="0" applyNumberFormat="1" applyFont="1" applyAlignment="1">
      <alignment horizontal="center"/>
    </xf>
    <xf numFmtId="3" fontId="30" fillId="0" borderId="0" xfId="0" applyNumberFormat="1" applyFont="1" applyAlignment="1">
      <alignment horizontal="center"/>
    </xf>
    <xf numFmtId="3" fontId="29" fillId="0" borderId="1" xfId="0" applyNumberFormat="1" applyFont="1" applyBorder="1" applyAlignment="1">
      <alignment horizontal="center"/>
    </xf>
    <xf numFmtId="0" fontId="29" fillId="0" borderId="0" xfId="0" applyFont="1" applyAlignment="1">
      <alignment horizontal="center"/>
    </xf>
    <xf numFmtId="1" fontId="29" fillId="0" borderId="0" xfId="0" applyNumberFormat="1" applyFont="1" applyAlignment="1">
      <alignment horizontal="center"/>
    </xf>
    <xf numFmtId="9" fontId="10" fillId="0" borderId="0" xfId="0" applyNumberFormat="1" applyFont="1" applyAlignment="1">
      <alignment horizontal="center"/>
    </xf>
    <xf numFmtId="165" fontId="10" fillId="0" borderId="0" xfId="0" applyNumberFormat="1" applyFont="1"/>
    <xf numFmtId="0" fontId="9" fillId="0" borderId="0" xfId="0" quotePrefix="1" applyFont="1"/>
    <xf numFmtId="0" fontId="12" fillId="3" borderId="0" xfId="0" applyFont="1" applyFill="1" applyAlignment="1">
      <alignment horizontal="right"/>
    </xf>
    <xf numFmtId="165" fontId="9" fillId="3" borderId="0" xfId="0" applyNumberFormat="1" applyFont="1" applyFill="1" applyAlignment="1">
      <alignment horizontal="right"/>
    </xf>
    <xf numFmtId="0" fontId="9" fillId="3" borderId="0" xfId="0" quotePrefix="1" applyFont="1" applyFill="1"/>
    <xf numFmtId="3" fontId="9" fillId="3" borderId="0" xfId="0" applyNumberFormat="1" applyFont="1" applyFill="1"/>
    <xf numFmtId="9" fontId="9" fillId="3" borderId="0" xfId="0" applyNumberFormat="1" applyFont="1" applyFill="1"/>
    <xf numFmtId="1" fontId="9" fillId="3" borderId="0" xfId="0" applyNumberFormat="1" applyFont="1" applyFill="1"/>
    <xf numFmtId="0" fontId="31" fillId="0" borderId="0" xfId="0" applyFont="1"/>
    <xf numFmtId="0" fontId="28" fillId="12" borderId="0" xfId="2" applyFont="1" applyFill="1" applyAlignment="1">
      <alignment horizontal="center" vertical="center"/>
    </xf>
    <xf numFmtId="2" fontId="0" fillId="0" borderId="0" xfId="0" applyNumberFormat="1"/>
    <xf numFmtId="165" fontId="0" fillId="0" borderId="0" xfId="0" applyNumberFormat="1"/>
    <xf numFmtId="0" fontId="4" fillId="0" borderId="1" xfId="0" applyFont="1" applyBorder="1"/>
    <xf numFmtId="0" fontId="3" fillId="0" borderId="1" xfId="2" applyFont="1" applyBorder="1" applyAlignment="1">
      <alignment horizontal="right"/>
    </xf>
    <xf numFmtId="0" fontId="4" fillId="13" borderId="6" xfId="0" applyFont="1" applyFill="1" applyBorder="1"/>
    <xf numFmtId="3" fontId="4" fillId="13" borderId="6" xfId="0" applyNumberFormat="1" applyFont="1" applyFill="1" applyBorder="1"/>
    <xf numFmtId="0" fontId="4" fillId="0" borderId="0" xfId="0" applyFont="1"/>
    <xf numFmtId="174" fontId="4" fillId="0" borderId="0" xfId="2" applyNumberFormat="1" applyFont="1"/>
    <xf numFmtId="174" fontId="0" fillId="0" borderId="0" xfId="0" applyNumberFormat="1"/>
    <xf numFmtId="0" fontId="32" fillId="0" borderId="0" xfId="0" applyFont="1"/>
    <xf numFmtId="17" fontId="32" fillId="0" borderId="0" xfId="0" applyNumberFormat="1" applyFont="1"/>
    <xf numFmtId="0" fontId="32" fillId="9" borderId="0" xfId="0" applyFont="1" applyFill="1" applyAlignment="1">
      <alignment horizontal="left"/>
    </xf>
    <xf numFmtId="0" fontId="0" fillId="0" borderId="6" xfId="0" applyBorder="1"/>
    <xf numFmtId="3" fontId="33" fillId="0" borderId="0" xfId="0" applyNumberFormat="1" applyFont="1"/>
    <xf numFmtId="3" fontId="0" fillId="0" borderId="6" xfId="0" applyNumberFormat="1" applyBorder="1"/>
    <xf numFmtId="164" fontId="32" fillId="0" borderId="0" xfId="0" applyNumberFormat="1" applyFont="1"/>
    <xf numFmtId="0" fontId="34" fillId="0" borderId="0" xfId="0" applyFont="1"/>
    <xf numFmtId="0" fontId="32" fillId="14" borderId="0" xfId="0" applyFont="1" applyFill="1"/>
    <xf numFmtId="0" fontId="0" fillId="14" borderId="0" xfId="0" applyFill="1"/>
    <xf numFmtId="3" fontId="34" fillId="0" borderId="0" xfId="0" applyNumberFormat="1" applyFont="1"/>
    <xf numFmtId="175" fontId="32" fillId="0" borderId="0" xfId="0" applyNumberFormat="1" applyFont="1"/>
    <xf numFmtId="0" fontId="35" fillId="0" borderId="0" xfId="0" applyFont="1"/>
    <xf numFmtId="3" fontId="0" fillId="0" borderId="0" xfId="0" applyNumberFormat="1" applyAlignment="1">
      <alignment horizontal="center"/>
    </xf>
    <xf numFmtId="9" fontId="0" fillId="0" borderId="0" xfId="0" applyNumberFormat="1" applyAlignment="1">
      <alignment horizontal="center"/>
    </xf>
    <xf numFmtId="165" fontId="0" fillId="0" borderId="0" xfId="0" applyNumberFormat="1" applyAlignment="1">
      <alignment horizontal="center"/>
    </xf>
    <xf numFmtId="1" fontId="0" fillId="2" borderId="0" xfId="0" applyNumberFormat="1" applyFill="1" applyAlignment="1">
      <alignment horizontal="center"/>
    </xf>
    <xf numFmtId="3" fontId="0" fillId="2" borderId="0" xfId="0" applyNumberFormat="1" applyFill="1" applyAlignment="1">
      <alignment horizontal="center"/>
    </xf>
    <xf numFmtId="9" fontId="32" fillId="0" borderId="0" xfId="0" applyNumberFormat="1" applyFont="1"/>
    <xf numFmtId="0" fontId="0" fillId="15" borderId="0" xfId="0" applyFill="1"/>
    <xf numFmtId="0" fontId="37" fillId="0" borderId="0" xfId="0" applyFont="1"/>
    <xf numFmtId="0" fontId="37" fillId="15" borderId="0" xfId="0" applyFont="1" applyFill="1"/>
    <xf numFmtId="3" fontId="37" fillId="15" borderId="0" xfId="0" applyNumberFormat="1" applyFont="1" applyFill="1" applyAlignment="1">
      <alignment horizontal="center"/>
    </xf>
    <xf numFmtId="0" fontId="37" fillId="15" borderId="0" xfId="0" applyFont="1" applyFill="1" applyAlignment="1">
      <alignment horizontal="center"/>
    </xf>
    <xf numFmtId="165" fontId="37" fillId="15" borderId="0" xfId="0" applyNumberFormat="1" applyFont="1" applyFill="1" applyAlignment="1">
      <alignment horizontal="center"/>
    </xf>
    <xf numFmtId="0" fontId="37" fillId="0" borderId="0" xfId="0" applyFont="1" applyAlignment="1">
      <alignment horizontal="center"/>
    </xf>
    <xf numFmtId="0" fontId="37" fillId="3" borderId="0" xfId="0" applyFont="1" applyFill="1"/>
    <xf numFmtId="3" fontId="37" fillId="3" borderId="0" xfId="0" applyNumberFormat="1" applyFont="1" applyFill="1" applyAlignment="1">
      <alignment horizontal="center"/>
    </xf>
    <xf numFmtId="0" fontId="37" fillId="3" borderId="0" xfId="0" applyFont="1" applyFill="1" applyAlignment="1">
      <alignment horizontal="center"/>
    </xf>
    <xf numFmtId="165" fontId="37" fillId="3" borderId="0" xfId="0" applyNumberFormat="1" applyFont="1" applyFill="1" applyAlignment="1">
      <alignment horizontal="center"/>
    </xf>
    <xf numFmtId="0" fontId="36" fillId="15" borderId="4" xfId="0" applyFont="1" applyFill="1" applyBorder="1"/>
    <xf numFmtId="0" fontId="36" fillId="15" borderId="4" xfId="0" applyFont="1" applyFill="1" applyBorder="1" applyAlignment="1">
      <alignment horizontal="center"/>
    </xf>
    <xf numFmtId="0" fontId="36" fillId="3" borderId="0" xfId="0" applyFont="1" applyFill="1"/>
    <xf numFmtId="0" fontId="36" fillId="3" borderId="0" xfId="0" applyFont="1" applyFill="1" applyAlignment="1">
      <alignment horizontal="center"/>
    </xf>
    <xf numFmtId="0" fontId="36" fillId="15" borderId="6" xfId="0" applyFont="1" applyFill="1" applyBorder="1"/>
    <xf numFmtId="0" fontId="37" fillId="15" borderId="6" xfId="0" applyFont="1" applyFill="1" applyBorder="1" applyAlignment="1">
      <alignment horizontal="center"/>
    </xf>
    <xf numFmtId="165" fontId="36" fillId="15" borderId="6" xfId="0" applyNumberFormat="1" applyFont="1" applyFill="1" applyBorder="1" applyAlignment="1">
      <alignment horizontal="center"/>
    </xf>
    <xf numFmtId="0" fontId="37" fillId="0" borderId="1" xfId="0" applyFont="1" applyBorder="1"/>
    <xf numFmtId="0" fontId="36" fillId="0" borderId="1" xfId="0" applyFont="1" applyBorder="1" applyAlignment="1">
      <alignment horizontal="right"/>
    </xf>
    <xf numFmtId="3" fontId="36" fillId="3" borderId="0" xfId="0" applyNumberFormat="1" applyFont="1" applyFill="1"/>
    <xf numFmtId="3" fontId="37" fillId="0" borderId="0" xfId="0" applyNumberFormat="1" applyFont="1"/>
    <xf numFmtId="3" fontId="37" fillId="3" borderId="0" xfId="0" applyNumberFormat="1" applyFont="1" applyFill="1"/>
    <xf numFmtId="0" fontId="37" fillId="3" borderId="0" xfId="0" applyFont="1" applyFill="1" applyAlignment="1">
      <alignment horizontal="right"/>
    </xf>
    <xf numFmtId="0" fontId="37" fillId="0" borderId="0" xfId="0" applyFont="1" applyAlignment="1">
      <alignment horizontal="right"/>
    </xf>
    <xf numFmtId="4" fontId="36" fillId="3" borderId="0" xfId="0" applyNumberFormat="1" applyFont="1" applyFill="1"/>
    <xf numFmtId="4" fontId="37" fillId="0" borderId="0" xfId="0" applyNumberFormat="1" applyFont="1"/>
    <xf numFmtId="4" fontId="37" fillId="3" borderId="0" xfId="0" applyNumberFormat="1" applyFont="1" applyFill="1"/>
    <xf numFmtId="165" fontId="37" fillId="0" borderId="0" xfId="0" applyNumberFormat="1" applyFont="1" applyAlignment="1">
      <alignment horizontal="center"/>
    </xf>
    <xf numFmtId="0" fontId="12" fillId="0" borderId="0" xfId="0" applyFont="1" applyAlignment="1">
      <alignment horizontal="center"/>
    </xf>
    <xf numFmtId="0" fontId="12" fillId="0" borderId="0" xfId="0" applyFont="1" applyAlignment="1">
      <alignment horizontal="center" wrapText="1"/>
    </xf>
    <xf numFmtId="165" fontId="9" fillId="0" borderId="0" xfId="0" applyNumberFormat="1" applyFont="1" applyAlignment="1">
      <alignment horizontal="center"/>
    </xf>
    <xf numFmtId="164" fontId="9" fillId="2" borderId="0" xfId="0" applyNumberFormat="1" applyFont="1" applyFill="1" applyAlignment="1">
      <alignment horizontal="center"/>
    </xf>
    <xf numFmtId="165" fontId="9" fillId="2" borderId="0" xfId="0" applyNumberFormat="1" applyFont="1" applyFill="1" applyAlignment="1">
      <alignment horizontal="center"/>
    </xf>
    <xf numFmtId="0" fontId="9" fillId="3" borderId="0" xfId="0" applyFont="1" applyFill="1" applyAlignment="1">
      <alignment vertical="center"/>
    </xf>
    <xf numFmtId="0" fontId="38" fillId="8" borderId="0" xfId="2" applyFont="1" applyFill="1" applyAlignment="1">
      <alignment horizontal="center" vertical="center"/>
    </xf>
    <xf numFmtId="0" fontId="39" fillId="7" borderId="0" xfId="2" applyFont="1" applyFill="1" applyAlignment="1">
      <alignment horizontal="center" vertical="center"/>
    </xf>
    <xf numFmtId="0" fontId="38" fillId="3" borderId="0" xfId="2" applyFont="1" applyFill="1" applyAlignment="1">
      <alignment horizontal="center" vertical="center"/>
    </xf>
    <xf numFmtId="0" fontId="40" fillId="0" borderId="0" xfId="2" applyFont="1" applyAlignment="1">
      <alignment horizontal="center"/>
    </xf>
    <xf numFmtId="0" fontId="12" fillId="0" borderId="4" xfId="0" applyFont="1" applyBorder="1"/>
    <xf numFmtId="0" fontId="38" fillId="0" borderId="4" xfId="2" applyFont="1" applyBorder="1" applyAlignment="1">
      <alignment horizontal="center"/>
    </xf>
    <xf numFmtId="0" fontId="38" fillId="0" borderId="0" xfId="2" applyFont="1" applyAlignment="1">
      <alignment horizontal="center"/>
    </xf>
    <xf numFmtId="3" fontId="41" fillId="0" borderId="0" xfId="0" applyNumberFormat="1" applyFont="1" applyAlignment="1">
      <alignment horizontal="center"/>
    </xf>
    <xf numFmtId="3" fontId="12" fillId="0" borderId="0" xfId="0" applyNumberFormat="1" applyFont="1" applyAlignment="1">
      <alignment horizontal="center"/>
    </xf>
    <xf numFmtId="0" fontId="9" fillId="0" borderId="0" xfId="0" applyFont="1" applyAlignment="1">
      <alignment horizontal="left" indent="1"/>
    </xf>
    <xf numFmtId="3" fontId="9" fillId="0" borderId="0" xfId="0" applyNumberFormat="1" applyFont="1" applyAlignment="1">
      <alignment horizontal="center"/>
    </xf>
    <xf numFmtId="3" fontId="42" fillId="0" borderId="0" xfId="0" applyNumberFormat="1" applyFont="1" applyAlignment="1">
      <alignment horizontal="center"/>
    </xf>
    <xf numFmtId="3" fontId="40" fillId="0" borderId="0" xfId="2" applyNumberFormat="1" applyFont="1" applyAlignment="1">
      <alignment horizontal="center"/>
    </xf>
    <xf numFmtId="4" fontId="41" fillId="0" borderId="0" xfId="0" applyNumberFormat="1" applyFont="1" applyAlignment="1">
      <alignment horizontal="center"/>
    </xf>
    <xf numFmtId="4" fontId="38" fillId="0" borderId="0" xfId="0" applyNumberFormat="1" applyFont="1" applyAlignment="1">
      <alignment horizontal="center"/>
    </xf>
    <xf numFmtId="173" fontId="38" fillId="0" borderId="0" xfId="0" applyNumberFormat="1" applyFont="1" applyAlignment="1">
      <alignment horizontal="center"/>
    </xf>
    <xf numFmtId="4" fontId="42" fillId="0" borderId="0" xfId="0" applyNumberFormat="1" applyFont="1" applyAlignment="1">
      <alignment horizontal="center"/>
    </xf>
    <xf numFmtId="4" fontId="40" fillId="0" borderId="0" xfId="0" applyNumberFormat="1" applyFont="1" applyAlignment="1">
      <alignment horizontal="center"/>
    </xf>
    <xf numFmtId="9" fontId="12" fillId="0" borderId="0" xfId="0" applyNumberFormat="1" applyFont="1" applyAlignment="1">
      <alignment horizontal="center"/>
    </xf>
    <xf numFmtId="3" fontId="12" fillId="2" borderId="0" xfId="0" applyNumberFormat="1" applyFont="1" applyFill="1" applyAlignment="1">
      <alignment horizontal="center"/>
    </xf>
    <xf numFmtId="0" fontId="40" fillId="0" borderId="4" xfId="2" applyFont="1" applyBorder="1" applyAlignment="1">
      <alignment horizontal="center"/>
    </xf>
    <xf numFmtId="0" fontId="9" fillId="0" borderId="0" xfId="0" applyFont="1" applyAlignment="1">
      <alignment horizontal="left" indent="2"/>
    </xf>
    <xf numFmtId="9" fontId="9" fillId="0" borderId="0" xfId="0" applyNumberFormat="1" applyFont="1" applyAlignment="1">
      <alignment horizontal="center"/>
    </xf>
    <xf numFmtId="1" fontId="9" fillId="0" borderId="0" xfId="0" applyNumberFormat="1" applyFont="1" applyAlignment="1">
      <alignment horizontal="center"/>
    </xf>
    <xf numFmtId="0" fontId="40" fillId="0" borderId="0" xfId="2" applyFont="1"/>
    <xf numFmtId="0" fontId="40" fillId="0" borderId="0" xfId="2" quotePrefix="1" applyFont="1"/>
    <xf numFmtId="0" fontId="40" fillId="0" borderId="0" xfId="2" quotePrefix="1" applyFont="1" applyAlignment="1">
      <alignment horizontal="left" indent="2"/>
    </xf>
    <xf numFmtId="0" fontId="40" fillId="0" borderId="1" xfId="2" quotePrefix="1" applyFont="1" applyBorder="1"/>
    <xf numFmtId="3" fontId="9" fillId="0" borderId="1" xfId="0" applyNumberFormat="1" applyFont="1" applyBorder="1" applyAlignment="1">
      <alignment horizontal="center"/>
    </xf>
    <xf numFmtId="3" fontId="42" fillId="0" borderId="1" xfId="0" applyNumberFormat="1" applyFont="1" applyBorder="1" applyAlignment="1">
      <alignment horizontal="center"/>
    </xf>
    <xf numFmtId="0" fontId="38" fillId="0" borderId="0" xfId="2" applyFont="1"/>
    <xf numFmtId="1" fontId="42" fillId="0" borderId="0" xfId="0" applyNumberFormat="1" applyFont="1" applyAlignment="1">
      <alignment horizontal="center"/>
    </xf>
    <xf numFmtId="4" fontId="9" fillId="0" borderId="0" xfId="0" applyNumberFormat="1" applyFont="1" applyAlignment="1">
      <alignment horizontal="center"/>
    </xf>
    <xf numFmtId="0" fontId="9" fillId="9" borderId="0" xfId="0" applyFont="1" applyFill="1"/>
    <xf numFmtId="0" fontId="9" fillId="11" borderId="0" xfId="0" applyFont="1" applyFill="1"/>
    <xf numFmtId="0" fontId="9" fillId="10" borderId="0" xfId="0" applyFont="1" applyFill="1"/>
    <xf numFmtId="0" fontId="9" fillId="11" borderId="0" xfId="0" applyFont="1" applyFill="1" applyAlignment="1">
      <alignment horizontal="left"/>
    </xf>
    <xf numFmtId="0" fontId="9" fillId="9" borderId="0" xfId="0" applyFont="1" applyFill="1" applyAlignment="1">
      <alignment horizontal="left"/>
    </xf>
    <xf numFmtId="0" fontId="9" fillId="10" borderId="0" xfId="0" applyFont="1" applyFill="1" applyAlignment="1">
      <alignment horizontal="left"/>
    </xf>
    <xf numFmtId="9" fontId="9" fillId="2" borderId="0" xfId="0" applyNumberFormat="1" applyFont="1" applyFill="1"/>
    <xf numFmtId="165" fontId="12" fillId="0" borderId="0" xfId="0" applyNumberFormat="1" applyFont="1"/>
    <xf numFmtId="3" fontId="12" fillId="0" borderId="6" xfId="0" applyNumberFormat="1" applyFont="1" applyBorder="1" applyAlignment="1">
      <alignment horizontal="center"/>
    </xf>
    <xf numFmtId="0" fontId="12" fillId="0" borderId="6" xfId="0" applyFont="1" applyBorder="1"/>
    <xf numFmtId="0" fontId="40" fillId="0" borderId="6" xfId="2" applyFont="1" applyBorder="1"/>
    <xf numFmtId="3" fontId="9" fillId="0" borderId="6" xfId="0" applyNumberFormat="1" applyFont="1" applyBorder="1" applyAlignment="1">
      <alignment horizontal="center"/>
    </xf>
    <xf numFmtId="166" fontId="9" fillId="0" borderId="1" xfId="0" applyNumberFormat="1" applyFont="1" applyBorder="1"/>
    <xf numFmtId="0" fontId="38" fillId="0" borderId="1" xfId="2" applyFont="1" applyBorder="1"/>
    <xf numFmtId="3" fontId="40" fillId="0" borderId="0" xfId="0" applyNumberFormat="1" applyFont="1"/>
    <xf numFmtId="3" fontId="38" fillId="0" borderId="0" xfId="2" applyNumberFormat="1" applyFont="1"/>
    <xf numFmtId="3" fontId="38" fillId="0" borderId="1" xfId="2" applyNumberFormat="1" applyFont="1" applyBorder="1"/>
    <xf numFmtId="0" fontId="38" fillId="0" borderId="0" xfId="2" applyFont="1" applyBorder="1"/>
    <xf numFmtId="3" fontId="40" fillId="0" borderId="0" xfId="2" applyNumberFormat="1" applyFont="1"/>
    <xf numFmtId="3" fontId="40" fillId="0" borderId="0" xfId="2" applyNumberFormat="1" applyFont="1" applyFill="1"/>
    <xf numFmtId="3" fontId="40" fillId="17" borderId="0" xfId="2" applyNumberFormat="1" applyFont="1" applyFill="1"/>
    <xf numFmtId="3" fontId="43" fillId="0" borderId="0" xfId="2" applyNumberFormat="1" applyFont="1"/>
    <xf numFmtId="3" fontId="40" fillId="2" borderId="0" xfId="2" applyNumberFormat="1" applyFont="1" applyFill="1"/>
    <xf numFmtId="3" fontId="40" fillId="18" borderId="0" xfId="2" applyNumberFormat="1" applyFont="1" applyFill="1"/>
    <xf numFmtId="165" fontId="44" fillId="0" borderId="0" xfId="0" applyNumberFormat="1" applyFont="1"/>
    <xf numFmtId="3" fontId="40" fillId="16" borderId="0" xfId="2" applyNumberFormat="1" applyFont="1" applyFill="1"/>
    <xf numFmtId="3" fontId="43" fillId="0" borderId="0" xfId="2" applyNumberFormat="1" applyFont="1" applyFill="1"/>
    <xf numFmtId="0" fontId="40" fillId="0" borderId="1" xfId="2" applyFont="1" applyBorder="1"/>
    <xf numFmtId="3" fontId="40" fillId="0" borderId="1" xfId="2" applyNumberFormat="1" applyFont="1" applyBorder="1"/>
    <xf numFmtId="3" fontId="40" fillId="0" borderId="1" xfId="2" applyNumberFormat="1" applyFont="1" applyFill="1" applyBorder="1"/>
    <xf numFmtId="0" fontId="9" fillId="0" borderId="0" xfId="0" applyFont="1" applyBorder="1"/>
    <xf numFmtId="3" fontId="44" fillId="0" borderId="0" xfId="2" applyNumberFormat="1" applyFont="1"/>
    <xf numFmtId="0" fontId="44" fillId="0" borderId="0" xfId="2" applyFont="1"/>
    <xf numFmtId="0" fontId="40" fillId="0" borderId="0" xfId="2" applyFont="1" applyAlignment="1">
      <alignment horizontal="left" indent="1"/>
    </xf>
    <xf numFmtId="0" fontId="44" fillId="0" borderId="1" xfId="2" applyFont="1" applyBorder="1"/>
    <xf numFmtId="9" fontId="40" fillId="0" borderId="0" xfId="2" applyNumberFormat="1" applyFont="1"/>
    <xf numFmtId="4" fontId="40" fillId="0" borderId="0" xfId="2" applyNumberFormat="1" applyFont="1"/>
    <xf numFmtId="4" fontId="44" fillId="0" borderId="0" xfId="2" applyNumberFormat="1" applyFont="1"/>
    <xf numFmtId="4" fontId="44" fillId="0" borderId="1" xfId="2" applyNumberFormat="1" applyFont="1" applyBorder="1"/>
    <xf numFmtId="3" fontId="43" fillId="0" borderId="1" xfId="2" applyNumberFormat="1" applyFont="1" applyBorder="1"/>
    <xf numFmtId="3" fontId="40" fillId="2" borderId="1" xfId="2" applyNumberFormat="1" applyFont="1" applyFill="1" applyBorder="1"/>
    <xf numFmtId="9" fontId="40" fillId="0" borderId="1" xfId="2" applyNumberFormat="1" applyFont="1" applyBorder="1"/>
    <xf numFmtId="3" fontId="44" fillId="0" borderId="1" xfId="2" applyNumberFormat="1" applyFont="1" applyBorder="1"/>
    <xf numFmtId="4" fontId="40" fillId="2" borderId="0" xfId="2" applyNumberFormat="1" applyFont="1" applyFill="1"/>
    <xf numFmtId="4" fontId="43" fillId="0" borderId="0" xfId="2" applyNumberFormat="1" applyFont="1"/>
    <xf numFmtId="4" fontId="43" fillId="0" borderId="1" xfId="2" applyNumberFormat="1" applyFont="1" applyBorder="1"/>
    <xf numFmtId="4" fontId="40" fillId="2" borderId="1" xfId="2" applyNumberFormat="1" applyFont="1" applyFill="1" applyBorder="1"/>
    <xf numFmtId="2" fontId="40" fillId="0" borderId="0" xfId="2" applyNumberFormat="1" applyFont="1"/>
    <xf numFmtId="1" fontId="40" fillId="0" borderId="0" xfId="2" applyNumberFormat="1" applyFont="1"/>
    <xf numFmtId="1" fontId="40" fillId="0" borderId="1" xfId="2" applyNumberFormat="1" applyFont="1" applyBorder="1"/>
    <xf numFmtId="9" fontId="40" fillId="0" borderId="0" xfId="1" applyFont="1"/>
    <xf numFmtId="1" fontId="44" fillId="0" borderId="0" xfId="2" applyNumberFormat="1" applyFont="1"/>
    <xf numFmtId="43" fontId="40" fillId="2" borderId="0" xfId="2" applyNumberFormat="1" applyFont="1" applyFill="1"/>
    <xf numFmtId="43" fontId="44" fillId="0" borderId="0" xfId="2" applyNumberFormat="1" applyFont="1"/>
    <xf numFmtId="167" fontId="40" fillId="2" borderId="0" xfId="2" applyNumberFormat="1" applyFont="1" applyFill="1"/>
    <xf numFmtId="167" fontId="44" fillId="0" borderId="0" xfId="2" applyNumberFormat="1" applyFont="1"/>
    <xf numFmtId="43" fontId="40" fillId="0" borderId="0" xfId="2" applyNumberFormat="1" applyFont="1"/>
    <xf numFmtId="165" fontId="44" fillId="2" borderId="0" xfId="2" applyNumberFormat="1" applyFont="1" applyFill="1"/>
    <xf numFmtId="0" fontId="9" fillId="0" borderId="1" xfId="0" applyFont="1" applyBorder="1" applyAlignment="1">
      <alignment horizontal="left" indent="1"/>
    </xf>
    <xf numFmtId="165" fontId="44" fillId="0" borderId="1" xfId="1" applyNumberFormat="1" applyFont="1" applyBorder="1"/>
    <xf numFmtId="165" fontId="40" fillId="0" borderId="1" xfId="1" applyNumberFormat="1" applyFont="1" applyBorder="1"/>
    <xf numFmtId="165" fontId="44" fillId="0" borderId="0" xfId="1" applyNumberFormat="1" applyFont="1"/>
    <xf numFmtId="165" fontId="45" fillId="2" borderId="1" xfId="1" applyNumberFormat="1" applyFont="1" applyFill="1" applyBorder="1"/>
    <xf numFmtId="43" fontId="9" fillId="0" borderId="0" xfId="0" applyNumberFormat="1" applyFont="1"/>
    <xf numFmtId="10" fontId="9" fillId="0" borderId="0" xfId="0" applyNumberFormat="1" applyFont="1"/>
    <xf numFmtId="3" fontId="12" fillId="2" borderId="0" xfId="0" applyNumberFormat="1" applyFont="1" applyFill="1"/>
    <xf numFmtId="0" fontId="40" fillId="0" borderId="0" xfId="2" applyFont="1" applyAlignment="1">
      <alignment horizontal="left" indent="2"/>
    </xf>
    <xf numFmtId="0" fontId="9" fillId="0" borderId="4" xfId="0" applyFont="1" applyBorder="1"/>
    <xf numFmtId="3" fontId="12" fillId="0" borderId="4" xfId="0" applyNumberFormat="1" applyFont="1" applyBorder="1"/>
    <xf numFmtId="0" fontId="9" fillId="0" borderId="1" xfId="0" applyFont="1" applyBorder="1" applyAlignment="1">
      <alignment horizontal="left" indent="2"/>
    </xf>
    <xf numFmtId="3" fontId="12" fillId="0" borderId="1" xfId="0" applyNumberFormat="1" applyFont="1" applyBorder="1"/>
    <xf numFmtId="165" fontId="9" fillId="0" borderId="1" xfId="0" applyNumberFormat="1" applyFont="1" applyBorder="1"/>
    <xf numFmtId="3" fontId="42" fillId="0" borderId="0" xfId="0" applyNumberFormat="1" applyFont="1"/>
    <xf numFmtId="9" fontId="44" fillId="0" borderId="0" xfId="0" applyNumberFormat="1" applyFont="1"/>
    <xf numFmtId="9" fontId="40" fillId="0" borderId="0" xfId="0" applyNumberFormat="1" applyFont="1"/>
    <xf numFmtId="0" fontId="42" fillId="0" borderId="0" xfId="0" applyFont="1"/>
    <xf numFmtId="1" fontId="42" fillId="0" borderId="0" xfId="0" applyNumberFormat="1" applyFont="1"/>
    <xf numFmtId="165" fontId="40" fillId="0" borderId="0" xfId="1" applyNumberFormat="1" applyFont="1" applyBorder="1"/>
    <xf numFmtId="3" fontId="44" fillId="0" borderId="0" xfId="0" applyNumberFormat="1" applyFont="1"/>
    <xf numFmtId="165" fontId="40" fillId="0" borderId="0" xfId="1" applyNumberFormat="1" applyFont="1"/>
    <xf numFmtId="3" fontId="40" fillId="0" borderId="0" xfId="1" applyNumberFormat="1" applyFont="1" applyFill="1"/>
    <xf numFmtId="3" fontId="40" fillId="0" borderId="0" xfId="1" applyNumberFormat="1" applyFont="1"/>
    <xf numFmtId="9" fontId="44" fillId="0" borderId="0" xfId="1" applyFont="1"/>
    <xf numFmtId="1" fontId="44" fillId="0" borderId="0" xfId="0" applyNumberFormat="1" applyFont="1"/>
    <xf numFmtId="0" fontId="44" fillId="0" borderId="0" xfId="0" applyFont="1"/>
    <xf numFmtId="1" fontId="40" fillId="0" borderId="0" xfId="0" applyNumberFormat="1" applyFont="1"/>
    <xf numFmtId="3" fontId="42" fillId="0" borderId="1" xfId="0" applyNumberFormat="1" applyFont="1" applyBorder="1"/>
    <xf numFmtId="3" fontId="9" fillId="0" borderId="1" xfId="0" applyNumberFormat="1" applyFont="1" applyBorder="1"/>
    <xf numFmtId="166" fontId="40" fillId="0" borderId="0" xfId="2" applyNumberFormat="1" applyFont="1"/>
    <xf numFmtId="164" fontId="40" fillId="0" borderId="0" xfId="0" applyNumberFormat="1" applyFont="1"/>
    <xf numFmtId="165" fontId="40" fillId="0" borderId="0" xfId="0" applyNumberFormat="1" applyFont="1"/>
    <xf numFmtId="165" fontId="40" fillId="2" borderId="0" xfId="2" applyNumberFormat="1" applyFont="1" applyFill="1"/>
    <xf numFmtId="166" fontId="40" fillId="0" borderId="1" xfId="2" applyNumberFormat="1" applyFont="1" applyBorder="1"/>
    <xf numFmtId="166" fontId="40" fillId="2" borderId="0" xfId="2" applyNumberFormat="1" applyFont="1" applyFill="1"/>
    <xf numFmtId="1" fontId="40" fillId="2" borderId="0" xfId="0" applyNumberFormat="1" applyFont="1" applyFill="1"/>
    <xf numFmtId="0" fontId="40" fillId="0" borderId="2" xfId="2" applyFont="1" applyBorder="1"/>
    <xf numFmtId="164" fontId="40" fillId="0" borderId="3" xfId="0" applyNumberFormat="1" applyFont="1" applyBorder="1"/>
    <xf numFmtId="2" fontId="40" fillId="0" borderId="0" xfId="0" applyNumberFormat="1" applyFont="1"/>
    <xf numFmtId="0" fontId="12" fillId="0" borderId="5" xfId="0" applyFont="1" applyBorder="1"/>
    <xf numFmtId="4" fontId="9" fillId="0" borderId="5" xfId="0" applyNumberFormat="1" applyFont="1" applyBorder="1"/>
    <xf numFmtId="0" fontId="9" fillId="2" borderId="0" xfId="0" applyFont="1" applyFill="1"/>
    <xf numFmtId="3" fontId="42" fillId="0" borderId="0" xfId="1" applyNumberFormat="1" applyFont="1" applyFill="1"/>
    <xf numFmtId="3" fontId="9" fillId="2" borderId="0" xfId="0" applyNumberFormat="1" applyFont="1" applyFill="1" applyAlignment="1">
      <alignment horizontal="center"/>
    </xf>
    <xf numFmtId="0" fontId="40" fillId="17" borderId="0" xfId="2" applyFont="1" applyFill="1"/>
    <xf numFmtId="0" fontId="40" fillId="19" borderId="0" xfId="2" applyFont="1" applyFill="1"/>
    <xf numFmtId="3" fontId="40" fillId="19" borderId="0" xfId="2" applyNumberFormat="1" applyFont="1" applyFill="1"/>
    <xf numFmtId="0" fontId="40" fillId="0" borderId="0" xfId="2" applyFont="1" applyBorder="1"/>
    <xf numFmtId="0" fontId="40" fillId="19" borderId="1" xfId="2" applyFont="1" applyFill="1" applyBorder="1"/>
    <xf numFmtId="3" fontId="40" fillId="19" borderId="0" xfId="2" applyNumberFormat="1" applyFont="1" applyFill="1" applyBorder="1"/>
    <xf numFmtId="0" fontId="40" fillId="18" borderId="0" xfId="2" applyFont="1" applyFill="1"/>
    <xf numFmtId="0" fontId="40" fillId="16" borderId="0" xfId="2" applyFont="1" applyFill="1"/>
    <xf numFmtId="0" fontId="40" fillId="20" borderId="0" xfId="2" applyFont="1" applyFill="1"/>
    <xf numFmtId="3" fontId="40" fillId="20" borderId="0" xfId="2" applyNumberFormat="1" applyFont="1" applyFill="1"/>
    <xf numFmtId="165" fontId="9" fillId="9" borderId="0" xfId="0" applyNumberFormat="1" applyFont="1" applyFill="1"/>
    <xf numFmtId="165" fontId="46" fillId="0" borderId="0" xfId="0" applyNumberFormat="1" applyFont="1"/>
    <xf numFmtId="0" fontId="40" fillId="0" borderId="0" xfId="2" applyFont="1" applyFill="1" applyBorder="1"/>
    <xf numFmtId="165" fontId="46" fillId="0" borderId="0" xfId="0" applyNumberFormat="1" applyFont="1" applyFill="1"/>
    <xf numFmtId="165" fontId="9" fillId="0" borderId="0" xfId="0" applyNumberFormat="1" applyFont="1" applyFill="1"/>
    <xf numFmtId="4" fontId="46" fillId="0" borderId="0" xfId="2" applyNumberFormat="1" applyFont="1"/>
    <xf numFmtId="3" fontId="40" fillId="0" borderId="0" xfId="2" applyNumberFormat="1" applyFont="1" applyBorder="1"/>
    <xf numFmtId="4" fontId="44" fillId="0" borderId="0" xfId="2" applyNumberFormat="1" applyFont="1" applyBorder="1"/>
    <xf numFmtId="4" fontId="40" fillId="0" borderId="0" xfId="2" applyNumberFormat="1" applyFont="1" applyBorder="1"/>
    <xf numFmtId="0" fontId="38" fillId="0" borderId="6" xfId="2" applyFont="1" applyBorder="1"/>
    <xf numFmtId="3" fontId="38" fillId="0" borderId="6" xfId="2" applyNumberFormat="1" applyFont="1" applyBorder="1"/>
    <xf numFmtId="2" fontId="9" fillId="0" borderId="0" xfId="0" applyNumberFormat="1" applyFont="1" applyFill="1"/>
    <xf numFmtId="4" fontId="38" fillId="2" borderId="6" xfId="2" applyNumberFormat="1" applyFont="1" applyFill="1" applyBorder="1"/>
    <xf numFmtId="3" fontId="40" fillId="0" borderId="0" xfId="0" applyNumberFormat="1" applyFont="1" applyAlignment="1">
      <alignment horizontal="center"/>
    </xf>
    <xf numFmtId="3" fontId="40" fillId="0" borderId="1" xfId="0" applyNumberFormat="1" applyFont="1" applyBorder="1" applyAlignment="1">
      <alignment horizontal="center"/>
    </xf>
    <xf numFmtId="3" fontId="38" fillId="0" borderId="0" xfId="0" applyNumberFormat="1" applyFont="1" applyAlignment="1">
      <alignment horizontal="center"/>
    </xf>
    <xf numFmtId="167" fontId="44" fillId="0" borderId="0" xfId="0" applyNumberFormat="1" applyFont="1"/>
    <xf numFmtId="3" fontId="9" fillId="0" borderId="0" xfId="0" applyNumberFormat="1" applyFont="1" applyFill="1" applyAlignment="1">
      <alignment horizontal="center"/>
    </xf>
    <xf numFmtId="165" fontId="46" fillId="2" borderId="0" xfId="0" applyNumberFormat="1" applyFont="1" applyFill="1"/>
    <xf numFmtId="3" fontId="41" fillId="0" borderId="0" xfId="0" applyNumberFormat="1" applyFont="1"/>
    <xf numFmtId="168" fontId="9" fillId="0" borderId="0" xfId="0" applyNumberFormat="1" applyFont="1" applyFill="1"/>
    <xf numFmtId="0" fontId="9" fillId="0" borderId="0" xfId="0" applyFont="1" applyFill="1"/>
    <xf numFmtId="2" fontId="7" fillId="0" borderId="0" xfId="0" applyNumberFormat="1" applyFont="1" applyFill="1"/>
    <xf numFmtId="4" fontId="9" fillId="0" borderId="0" xfId="0" applyNumberFormat="1" applyFont="1" applyFill="1"/>
    <xf numFmtId="3" fontId="38" fillId="0" borderId="0" xfId="1" applyNumberFormat="1" applyFont="1"/>
    <xf numFmtId="3" fontId="12" fillId="0" borderId="0" xfId="0" applyNumberFormat="1" applyFont="1" applyFill="1"/>
    <xf numFmtId="3" fontId="38" fillId="0" borderId="0" xfId="1" applyNumberFormat="1" applyFont="1" applyFill="1"/>
    <xf numFmtId="3" fontId="46" fillId="0" borderId="0" xfId="0" applyNumberFormat="1" applyFont="1"/>
    <xf numFmtId="3" fontId="46" fillId="0" borderId="0" xfId="2" applyNumberFormat="1" applyFont="1"/>
    <xf numFmtId="3" fontId="48" fillId="0" borderId="0" xfId="0" applyNumberFormat="1" applyFont="1"/>
    <xf numFmtId="4" fontId="47" fillId="0" borderId="6" xfId="2" applyNumberFormat="1" applyFont="1" applyFill="1" applyBorder="1"/>
    <xf numFmtId="1" fontId="46" fillId="0" borderId="0" xfId="0" applyNumberFormat="1" applyFont="1"/>
    <xf numFmtId="3" fontId="46" fillId="0" borderId="1" xfId="0" applyNumberFormat="1" applyFont="1" applyBorder="1"/>
    <xf numFmtId="4" fontId="40" fillId="0" borderId="0" xfId="0" applyNumberFormat="1" applyFont="1"/>
    <xf numFmtId="4" fontId="38" fillId="0" borderId="6" xfId="2" applyNumberFormat="1" applyFont="1" applyFill="1" applyBorder="1"/>
    <xf numFmtId="0" fontId="9" fillId="3" borderId="0" xfId="0" applyFont="1" applyFill="1" applyAlignment="1">
      <alignment horizontal="center" vertical="center" wrapText="1"/>
    </xf>
    <xf numFmtId="0" fontId="9" fillId="3" borderId="6" xfId="0" applyFont="1" applyFill="1" applyBorder="1" applyAlignment="1">
      <alignment horizontal="center" vertical="center" wrapText="1"/>
    </xf>
  </cellXfs>
  <cellStyles count="8">
    <cellStyle name="%" xfId="2" xr:uid="{32A91BD9-2A67-4953-A5A9-D088DAFD7501}"/>
    <cellStyle name="% 2" xfId="4" xr:uid="{BEA824B2-1AEA-4A6E-BDB9-4F1194941C10}"/>
    <cellStyle name="Comma" xfId="3" builtinId="3"/>
    <cellStyle name="Comma 3 3" xfId="7" xr:uid="{A1D61F6A-7334-41CE-8B99-E53CFB6A6F48}"/>
    <cellStyle name="Normal" xfId="0" builtinId="0"/>
    <cellStyle name="Normal 3" xfId="5" xr:uid="{9EBD5AEC-E3F3-4288-9020-B665C9607BA8}"/>
    <cellStyle name="Normal 4 3" xfId="6" xr:uid="{DA559B26-7E34-4ED8-A916-70F5C6BECAA3}"/>
    <cellStyle name="Percent" xfId="1" builtinId="5"/>
  </cellStyles>
  <dxfs count="0"/>
  <tableStyles count="0" defaultTableStyle="TableStyleMedium2" defaultPivotStyle="PivotStyleLight16"/>
  <colors>
    <mruColors>
      <color rgb="FF0000FF"/>
      <color rgb="FFE6B3FF"/>
      <color rgb="FF7990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8.xml"/><Relationship Id="rId1" Type="http://schemas.microsoft.com/office/2011/relationships/chartStyle" Target="style28.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9.xml"/><Relationship Id="rId1" Type="http://schemas.microsoft.com/office/2011/relationships/chartStyle" Target="style29.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30.xml"/><Relationship Id="rId1" Type="http://schemas.microsoft.com/office/2011/relationships/chartStyle" Target="style30.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31.xml"/><Relationship Id="rId1" Type="http://schemas.microsoft.com/office/2011/relationships/chartStyle" Target="style31.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32.xml"/><Relationship Id="rId1" Type="http://schemas.microsoft.com/office/2011/relationships/chartStyle" Target="style32.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33.xml"/><Relationship Id="rId1" Type="http://schemas.microsoft.com/office/2011/relationships/chartStyle" Target="style33.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34.xml"/><Relationship Id="rId1" Type="http://schemas.microsoft.com/office/2011/relationships/chartStyle" Target="style34.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8352323033422"/>
          <c:y val="0.13201710102689676"/>
          <c:w val="0.6478036215077857"/>
          <c:h val="0.67757526775397192"/>
        </c:manualLayout>
      </c:layout>
      <c:pieChart>
        <c:varyColors val="1"/>
        <c:ser>
          <c:idx val="0"/>
          <c:order val="0"/>
          <c:dPt>
            <c:idx val="0"/>
            <c:bubble3D val="0"/>
            <c:spPr>
              <a:solidFill>
                <a:srgbClr val="263238"/>
              </a:solidFill>
              <a:ln w="25400">
                <a:noFill/>
              </a:ln>
              <a:effectLst/>
            </c:spPr>
            <c:extLst>
              <c:ext xmlns:c16="http://schemas.microsoft.com/office/drawing/2014/chart" uri="{C3380CC4-5D6E-409C-BE32-E72D297353CC}">
                <c16:uniqueId val="{00000006-E494-4770-90AD-E2215CE54DCF}"/>
              </c:ext>
            </c:extLst>
          </c:dPt>
          <c:dPt>
            <c:idx val="1"/>
            <c:bubble3D val="0"/>
            <c:spPr>
              <a:solidFill>
                <a:srgbClr val="799098"/>
              </a:solidFill>
              <a:ln w="25400">
                <a:noFill/>
              </a:ln>
              <a:effectLst/>
            </c:spPr>
            <c:extLst>
              <c:ext xmlns:c16="http://schemas.microsoft.com/office/drawing/2014/chart" uri="{C3380CC4-5D6E-409C-BE32-E72D297353CC}">
                <c16:uniqueId val="{00000007-E494-4770-90AD-E2215CE54DCF}"/>
              </c:ext>
            </c:extLst>
          </c:dPt>
          <c:dPt>
            <c:idx val="2"/>
            <c:bubble3D val="0"/>
            <c:spPr>
              <a:solidFill>
                <a:srgbClr val="F9663E"/>
              </a:solidFill>
              <a:ln w="25400">
                <a:noFill/>
              </a:ln>
              <a:effectLst/>
            </c:spPr>
            <c:extLst>
              <c:ext xmlns:c16="http://schemas.microsoft.com/office/drawing/2014/chart" uri="{C3380CC4-5D6E-409C-BE32-E72D297353CC}">
                <c16:uniqueId val="{00000008-E494-4770-90AD-E2215CE54DCF}"/>
              </c:ext>
            </c:extLst>
          </c:dPt>
          <c:dPt>
            <c:idx val="3"/>
            <c:bubble3D val="0"/>
            <c:spPr>
              <a:solidFill>
                <a:srgbClr val="C7FE02"/>
              </a:solidFill>
              <a:ln w="25400">
                <a:noFill/>
              </a:ln>
              <a:effectLst/>
            </c:spPr>
            <c:extLst>
              <c:ext xmlns:c16="http://schemas.microsoft.com/office/drawing/2014/chart" uri="{C3380CC4-5D6E-409C-BE32-E72D297353CC}">
                <c16:uniqueId val="{00000009-E494-4770-90AD-E2215CE54DCF}"/>
              </c:ext>
            </c:extLst>
          </c:dPt>
          <c:dPt>
            <c:idx val="4"/>
            <c:bubble3D val="0"/>
            <c:spPr>
              <a:solidFill>
                <a:srgbClr val="00C994"/>
              </a:solidFill>
              <a:ln w="25400">
                <a:noFill/>
              </a:ln>
              <a:effectLst/>
            </c:spPr>
            <c:extLst>
              <c:ext xmlns:c16="http://schemas.microsoft.com/office/drawing/2014/chart" uri="{C3380CC4-5D6E-409C-BE32-E72D297353CC}">
                <c16:uniqueId val="{0000000A-E494-4770-90AD-E2215CE54DCF}"/>
              </c:ext>
            </c:extLst>
          </c:dPt>
          <c:dPt>
            <c:idx val="5"/>
            <c:bubble3D val="0"/>
            <c:spPr>
              <a:solidFill>
                <a:srgbClr val="465A63"/>
              </a:solidFill>
              <a:ln w="25400">
                <a:noFill/>
              </a:ln>
              <a:effectLst/>
            </c:spPr>
            <c:extLst>
              <c:ext xmlns:c16="http://schemas.microsoft.com/office/drawing/2014/chart" uri="{C3380CC4-5D6E-409C-BE32-E72D297353CC}">
                <c16:uniqueId val="{0000000B-E494-4770-90AD-E2215CE54DCF}"/>
              </c:ext>
            </c:extLst>
          </c:dPt>
          <c:dPt>
            <c:idx val="6"/>
            <c:bubble3D val="0"/>
            <c:spPr>
              <a:solidFill>
                <a:srgbClr val="B0BEC5"/>
              </a:solidFill>
              <a:ln w="25400">
                <a:noFill/>
              </a:ln>
              <a:effectLst/>
            </c:spPr>
            <c:extLst>
              <c:ext xmlns:c16="http://schemas.microsoft.com/office/drawing/2014/chart" uri="{C3380CC4-5D6E-409C-BE32-E72D297353CC}">
                <c16:uniqueId val="{0000000C-E494-4770-90AD-E2215CE54DCF}"/>
              </c:ext>
            </c:extLst>
          </c:dPt>
          <c:dPt>
            <c:idx val="7"/>
            <c:bubble3D val="0"/>
            <c:spPr>
              <a:solidFill>
                <a:srgbClr val="F19375"/>
              </a:solidFill>
              <a:ln w="25400">
                <a:noFill/>
              </a:ln>
              <a:effectLst/>
            </c:spPr>
            <c:extLst>
              <c:ext xmlns:c16="http://schemas.microsoft.com/office/drawing/2014/chart" uri="{C3380CC4-5D6E-409C-BE32-E72D297353CC}">
                <c16:uniqueId val="{0000000D-E494-4770-90AD-E2215CE54DCF}"/>
              </c:ext>
            </c:extLst>
          </c:dPt>
          <c:dPt>
            <c:idx val="8"/>
            <c:bubble3D val="0"/>
            <c:spPr>
              <a:solidFill>
                <a:srgbClr val="E3F982"/>
              </a:solidFill>
              <a:ln w="25400">
                <a:noFill/>
              </a:ln>
              <a:effectLst/>
            </c:spPr>
            <c:extLst>
              <c:ext xmlns:c16="http://schemas.microsoft.com/office/drawing/2014/chart" uri="{C3380CC4-5D6E-409C-BE32-E72D297353CC}">
                <c16:uniqueId val="{0000000E-E494-4770-90AD-E2215CE54DCF}"/>
              </c:ext>
            </c:extLst>
          </c:dPt>
          <c:dPt>
            <c:idx val="9"/>
            <c:bubble3D val="0"/>
            <c:spPr>
              <a:solidFill>
                <a:srgbClr val="80D4C1"/>
              </a:solidFill>
              <a:ln w="25400">
                <a:noFill/>
              </a:ln>
              <a:effectLst/>
            </c:spPr>
            <c:extLst>
              <c:ext xmlns:c16="http://schemas.microsoft.com/office/drawing/2014/chart" uri="{C3380CC4-5D6E-409C-BE32-E72D297353CC}">
                <c16:uniqueId val="{0000000F-E494-4770-90AD-E2215CE54DCF}"/>
              </c:ext>
            </c:extLst>
          </c:dPt>
          <c:dPt>
            <c:idx val="10"/>
            <c:bubble3D val="0"/>
            <c:spPr>
              <a:solidFill>
                <a:srgbClr val="263238"/>
              </a:solidFill>
              <a:ln w="25400">
                <a:noFill/>
              </a:ln>
              <a:effectLst/>
            </c:spPr>
            <c:extLst>
              <c:ext xmlns:c16="http://schemas.microsoft.com/office/drawing/2014/chart" uri="{C3380CC4-5D6E-409C-BE32-E72D297353CC}">
                <c16:uniqueId val="{00000010-E494-4770-90AD-E2215CE54DCF}"/>
              </c:ext>
            </c:extLst>
          </c:dPt>
          <c:dPt>
            <c:idx val="11"/>
            <c:bubble3D val="0"/>
            <c:spPr>
              <a:solidFill>
                <a:srgbClr val="799098"/>
              </a:solidFill>
              <a:ln w="25400">
                <a:noFill/>
              </a:ln>
              <a:effectLst/>
            </c:spPr>
            <c:extLst>
              <c:ext xmlns:c16="http://schemas.microsoft.com/office/drawing/2014/chart" uri="{C3380CC4-5D6E-409C-BE32-E72D297353CC}">
                <c16:uniqueId val="{00000011-E494-4770-90AD-E2215CE54DCF}"/>
              </c:ext>
            </c:extLst>
          </c:dPt>
          <c:dPt>
            <c:idx val="12"/>
            <c:bubble3D val="0"/>
            <c:spPr>
              <a:solidFill>
                <a:srgbClr val="F9663E"/>
              </a:solidFill>
              <a:ln w="25400">
                <a:noFill/>
              </a:ln>
              <a:effectLst/>
            </c:spPr>
            <c:extLst>
              <c:ext xmlns:c16="http://schemas.microsoft.com/office/drawing/2014/chart" uri="{C3380CC4-5D6E-409C-BE32-E72D297353CC}">
                <c16:uniqueId val="{00000012-E494-4770-90AD-E2215CE54DCF}"/>
              </c:ext>
            </c:extLst>
          </c:dPt>
          <c:dPt>
            <c:idx val="13"/>
            <c:bubble3D val="0"/>
            <c:spPr>
              <a:solidFill>
                <a:srgbClr val="C7FE02"/>
              </a:solidFill>
              <a:ln w="25400">
                <a:noFill/>
              </a:ln>
              <a:effectLst/>
            </c:spPr>
            <c:extLst>
              <c:ext xmlns:c16="http://schemas.microsoft.com/office/drawing/2014/chart" uri="{C3380CC4-5D6E-409C-BE32-E72D297353CC}">
                <c16:uniqueId val="{00000013-E494-4770-90AD-E2215CE54DCF}"/>
              </c:ext>
            </c:extLst>
          </c:dPt>
          <c:dPt>
            <c:idx val="14"/>
            <c:bubble3D val="0"/>
            <c:spPr>
              <a:solidFill>
                <a:srgbClr val="00C994"/>
              </a:solidFill>
              <a:ln w="25400">
                <a:noFill/>
              </a:ln>
              <a:effectLst/>
            </c:spPr>
            <c:extLst>
              <c:ext xmlns:c16="http://schemas.microsoft.com/office/drawing/2014/chart" uri="{C3380CC4-5D6E-409C-BE32-E72D297353CC}">
                <c16:uniqueId val="{00000014-E494-4770-90AD-E2215CE54DCF}"/>
              </c:ext>
            </c:extLst>
          </c:dPt>
          <c:dLbls>
            <c:spPr>
              <a:noFill/>
              <a:ln>
                <a:noFill/>
              </a:ln>
              <a:effectLst/>
            </c:spPr>
            <c:txPr>
              <a:bodyPr rot="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Master!$A$4:$A$18</c:f>
              <c:strCache>
                <c:ptCount val="15"/>
                <c:pt idx="0">
                  <c:v>Brazil</c:v>
                </c:pt>
                <c:pt idx="1">
                  <c:v>Argentina</c:v>
                </c:pt>
                <c:pt idx="2">
                  <c:v>Peru</c:v>
                </c:pt>
                <c:pt idx="3">
                  <c:v>Guatemala</c:v>
                </c:pt>
                <c:pt idx="4">
                  <c:v>Chile</c:v>
                </c:pt>
                <c:pt idx="5">
                  <c:v>Ecuador</c:v>
                </c:pt>
                <c:pt idx="6">
                  <c:v>Honduras</c:v>
                </c:pt>
                <c:pt idx="7">
                  <c:v>Dom Rep</c:v>
                </c:pt>
                <c:pt idx="8">
                  <c:v>El Salvador</c:v>
                </c:pt>
                <c:pt idx="9">
                  <c:v>Nicaragua</c:v>
                </c:pt>
                <c:pt idx="10">
                  <c:v>Paraguay</c:v>
                </c:pt>
                <c:pt idx="11">
                  <c:v>Costa Rica</c:v>
                </c:pt>
                <c:pt idx="12">
                  <c:v>Uruguay</c:v>
                </c:pt>
                <c:pt idx="13">
                  <c:v>Panama</c:v>
                </c:pt>
                <c:pt idx="14">
                  <c:v>Puerto Rico</c:v>
                </c:pt>
              </c:strCache>
            </c:strRef>
          </c:cat>
          <c:val>
            <c:numRef>
              <c:f>Master!$G$4:$G$18</c:f>
              <c:numCache>
                <c:formatCode>#,##0</c:formatCode>
                <c:ptCount val="15"/>
                <c:pt idx="0">
                  <c:v>11233</c:v>
                </c:pt>
                <c:pt idx="1">
                  <c:v>4097</c:v>
                </c:pt>
                <c:pt idx="2">
                  <c:v>0</c:v>
                </c:pt>
                <c:pt idx="3">
                  <c:v>3020</c:v>
                </c:pt>
                <c:pt idx="4">
                  <c:v>2509</c:v>
                </c:pt>
                <c:pt idx="5">
                  <c:v>2387</c:v>
                </c:pt>
                <c:pt idx="6">
                  <c:v>1370</c:v>
                </c:pt>
                <c:pt idx="8">
                  <c:v>1135</c:v>
                </c:pt>
                <c:pt idx="9">
                  <c:v>764</c:v>
                </c:pt>
                <c:pt idx="10">
                  <c:v>741</c:v>
                </c:pt>
                <c:pt idx="11">
                  <c:v>561</c:v>
                </c:pt>
                <c:pt idx="12">
                  <c:v>552</c:v>
                </c:pt>
                <c:pt idx="13">
                  <c:v>545</c:v>
                </c:pt>
                <c:pt idx="14">
                  <c:v>176</c:v>
                </c:pt>
              </c:numCache>
            </c:numRef>
          </c:val>
          <c:extLst>
            <c:ext xmlns:c16="http://schemas.microsoft.com/office/drawing/2014/chart" uri="{C3380CC4-5D6E-409C-BE32-E72D297353CC}">
              <c16:uniqueId val="{00000000-E494-4770-90AD-E2215CE54DCF}"/>
            </c:ext>
          </c:extLst>
        </c:ser>
        <c:dLbls>
          <c:dLblPos val="bestFit"/>
          <c:showLegendKey val="0"/>
          <c:showVal val="1"/>
          <c:showCatName val="0"/>
          <c:showSerName val="0"/>
          <c:showPercent val="0"/>
          <c:showBubbleSize val="0"/>
          <c:showLeaderLines val="1"/>
        </c:dLbls>
        <c:firstSliceAng val="0"/>
      </c:pieChart>
      <c:spPr>
        <a:noFill/>
        <a:ln w="25400">
          <a:noFill/>
        </a:ln>
        <a:effectLst/>
      </c:spPr>
    </c:plotArea>
    <c:legend>
      <c:legendPos val="b"/>
      <c:legendEntry>
        <c:idx val="2"/>
        <c:delete val="1"/>
      </c:legendEntry>
      <c:legendEntry>
        <c:idx val="7"/>
        <c:delete val="1"/>
      </c:legendEntry>
      <c:layout>
        <c:manualLayout>
          <c:xMode val="edge"/>
          <c:yMode val="edge"/>
          <c:x val="0.11935201472885569"/>
          <c:y val="0.89671430369257776"/>
          <c:w val="0.72230922468363457"/>
          <c:h val="7.3109798543434093E-2"/>
        </c:manualLayout>
      </c:layout>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Roboto" panose="02000000000000000000" pitchFamily="2" charset="0"/>
          <a:ea typeface="Roboto" panose="02000000000000000000" pitchFamily="2" charset="0"/>
          <a:cs typeface="Helvetica Neue"/>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63238"/>
            </a:solidFill>
            <a:ln>
              <a:noFill/>
            </a:ln>
            <a:effectLst/>
            <a:extLst>
              <a:ext uri="{91240B29-F687-4F45-9708-019B960494DF}">
                <a14:hiddenLine xmlns:a14="http://schemas.microsoft.com/office/drawing/2010/main">
                  <a:noFill/>
                </a14:hiddenLine>
              </a:ext>
            </a:extLst>
          </c:spPr>
          <c:invertIfNegative val="0"/>
          <c:dPt>
            <c:idx val="5"/>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1A64-4D9B-8E05-D734CE7A24F8}"/>
              </c:ext>
            </c:extLst>
          </c:dPt>
          <c:dPt>
            <c:idx val="7"/>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AB9B-4195-B617-FADE71500CFE}"/>
              </c:ext>
            </c:extLst>
          </c:dPt>
          <c:dPt>
            <c:idx val="11"/>
            <c:invertIfNegative val="0"/>
            <c:bubble3D val="0"/>
            <c:spPr>
              <a:solidFill>
                <a:srgbClr val="263238"/>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AB9B-4195-B617-FADE71500CFE}"/>
              </c:ext>
            </c:extLst>
          </c:dPt>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rgbClr val="595959"/>
                    </a:solidFill>
                    <a:latin typeface="Helvetica Neue"/>
                    <a:ea typeface="Helvetica Neue"/>
                    <a:cs typeface="Helvetica Neue"/>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Analysis!$C$2:$C$22</c:f>
              <c:strCache>
                <c:ptCount val="21"/>
                <c:pt idx="0">
                  <c:v>China Tower</c:v>
                </c:pt>
                <c:pt idx="1">
                  <c:v>India (Infratel)</c:v>
                </c:pt>
                <c:pt idx="2">
                  <c:v>Uk</c:v>
                </c:pt>
                <c:pt idx="3">
                  <c:v>Tower Bersama</c:v>
                </c:pt>
                <c:pt idx="4">
                  <c:v>Spain</c:v>
                </c:pt>
                <c:pt idx="5">
                  <c:v>Sitios</c:v>
                </c:pt>
                <c:pt idx="6">
                  <c:v>Protelindo</c:v>
                </c:pt>
                <c:pt idx="7">
                  <c:v>Telesites</c:v>
                </c:pt>
                <c:pt idx="8">
                  <c:v>Tanzania</c:v>
                </c:pt>
                <c:pt idx="9">
                  <c:v>Inwit</c:v>
                </c:pt>
                <c:pt idx="10">
                  <c:v>Ghana</c:v>
                </c:pt>
                <c:pt idx="11">
                  <c:v>AMT - Latam</c:v>
                </c:pt>
                <c:pt idx="12">
                  <c:v>AMT  -EMEA</c:v>
                </c:pt>
                <c:pt idx="13">
                  <c:v>Cellnex</c:v>
                </c:pt>
                <c:pt idx="14">
                  <c:v>Italy</c:v>
                </c:pt>
                <c:pt idx="15">
                  <c:v>France</c:v>
                </c:pt>
                <c:pt idx="16">
                  <c:v>Switzerland</c:v>
                </c:pt>
                <c:pt idx="17">
                  <c:v>Netherlands</c:v>
                </c:pt>
                <c:pt idx="18">
                  <c:v>DRC</c:v>
                </c:pt>
                <c:pt idx="19">
                  <c:v>Congo B</c:v>
                </c:pt>
                <c:pt idx="20">
                  <c:v>AMT - USA</c:v>
                </c:pt>
              </c:strCache>
            </c:strRef>
          </c:cat>
          <c:val>
            <c:numRef>
              <c:f>Analysis!$D$2:$D$22</c:f>
              <c:numCache>
                <c:formatCode>_-* #,##0_-;\-* #,##0_-;_-* "-"??_-;_-@_-</c:formatCode>
                <c:ptCount val="21"/>
                <c:pt idx="0">
                  <c:v>293.59389171732511</c:v>
                </c:pt>
                <c:pt idx="1">
                  <c:v>627.60601195350841</c:v>
                </c:pt>
                <c:pt idx="2">
                  <c:v>899.19774037920138</c:v>
                </c:pt>
                <c:pt idx="3">
                  <c:v>1021.6465960131541</c:v>
                </c:pt>
                <c:pt idx="4">
                  <c:v>1048.31782457181</c:v>
                </c:pt>
                <c:pt idx="5">
                  <c:v>1057.0642832588519</c:v>
                </c:pt>
                <c:pt idx="6">
                  <c:v>1192.5598457799269</c:v>
                </c:pt>
                <c:pt idx="7">
                  <c:v>1229</c:v>
                </c:pt>
                <c:pt idx="8">
                  <c:v>1311.4610673665793</c:v>
                </c:pt>
                <c:pt idx="9">
                  <c:v>1379.3333333333333</c:v>
                </c:pt>
                <c:pt idx="10">
                  <c:v>1586.3453815261046</c:v>
                </c:pt>
                <c:pt idx="11">
                  <c:v>1676</c:v>
                </c:pt>
                <c:pt idx="12">
                  <c:v>1871</c:v>
                </c:pt>
                <c:pt idx="13">
                  <c:v>1890</c:v>
                </c:pt>
                <c:pt idx="14">
                  <c:v>1948.5111429212982</c:v>
                </c:pt>
                <c:pt idx="15">
                  <c:v>1995.3837703917561</c:v>
                </c:pt>
                <c:pt idx="16">
                  <c:v>2002.8531401900584</c:v>
                </c:pt>
                <c:pt idx="17">
                  <c:v>2003.3747407324713</c:v>
                </c:pt>
                <c:pt idx="18">
                  <c:v>2472.2912706536044</c:v>
                </c:pt>
                <c:pt idx="19">
                  <c:v>3381.4041745730556</c:v>
                </c:pt>
                <c:pt idx="20">
                  <c:v>3495</c:v>
                </c:pt>
              </c:numCache>
            </c:numRef>
          </c:val>
          <c:extLst>
            <c:ext xmlns:c16="http://schemas.microsoft.com/office/drawing/2014/chart" uri="{C3380CC4-5D6E-409C-BE32-E72D297353CC}">
              <c16:uniqueId val="{00000000-1A64-4D9B-8E05-D734CE7A24F8}"/>
            </c:ext>
          </c:extLst>
        </c:ser>
        <c:dLbls>
          <c:showLegendKey val="0"/>
          <c:showVal val="0"/>
          <c:showCatName val="0"/>
          <c:showSerName val="0"/>
          <c:showPercent val="0"/>
          <c:showBubbleSize val="0"/>
        </c:dLbls>
        <c:gapWidth val="30"/>
        <c:overlap val="-27"/>
        <c:axId val="259452207"/>
        <c:axId val="259456367"/>
      </c:barChart>
      <c:catAx>
        <c:axId val="259452207"/>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259456367"/>
        <c:crosses val="autoZero"/>
        <c:auto val="1"/>
        <c:lblAlgn val="ctr"/>
        <c:lblOffset val="100"/>
        <c:noMultiLvlLbl val="0"/>
      </c:catAx>
      <c:valAx>
        <c:axId val="259456367"/>
        <c:scaling>
          <c:orientation val="minMax"/>
        </c:scaling>
        <c:delete val="0"/>
        <c:axPos val="l"/>
        <c:numFmt formatCode="_-* #,##0_-;\-* #,##0_-;_-* &quot;-&quot;??_-;_-@_-" sourceLinked="1"/>
        <c:majorTickMark val="out"/>
        <c:minorTickMark val="none"/>
        <c:tickLblPos val="nextTo"/>
        <c:spPr>
          <a:noFill/>
          <a:ln>
            <a:solidFill>
              <a:srgbClr val="B3B3B3"/>
            </a:solidFill>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259452207"/>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63238"/>
            </a:solidFill>
            <a:ln>
              <a:noFill/>
            </a:ln>
            <a:effectLst/>
            <a:extLst>
              <a:ext uri="{91240B29-F687-4F45-9708-019B960494DF}">
                <a14:hiddenLine xmlns:a14="http://schemas.microsoft.com/office/drawing/2010/main">
                  <a:noFill/>
                </a14:hiddenLine>
              </a:ext>
            </a:extLst>
          </c:spPr>
          <c:invertIfNegative val="0"/>
          <c:dPt>
            <c:idx val="5"/>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0-613F-418B-99B6-27120D9562BD}"/>
              </c:ext>
            </c:extLst>
          </c:dPt>
          <c:dLbls>
            <c:spPr>
              <a:noFill/>
              <a:ln>
                <a:noFill/>
              </a:ln>
              <a:effectLst/>
            </c:spPr>
            <c:txPr>
              <a:bodyPr rot="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Analysis!$D$28:$K$28</c:f>
              <c:strCache>
                <c:ptCount val="8"/>
                <c:pt idx="0">
                  <c:v>India</c:v>
                </c:pt>
                <c:pt idx="1">
                  <c:v>China</c:v>
                </c:pt>
                <c:pt idx="2">
                  <c:v>Indonesia</c:v>
                </c:pt>
                <c:pt idx="3">
                  <c:v>Telesites</c:v>
                </c:pt>
                <c:pt idx="4">
                  <c:v>W Eur</c:v>
                </c:pt>
                <c:pt idx="5">
                  <c:v>Sitios</c:v>
                </c:pt>
                <c:pt idx="6">
                  <c:v>IHS Africa</c:v>
                </c:pt>
                <c:pt idx="7">
                  <c:v>USA</c:v>
                </c:pt>
              </c:strCache>
            </c:strRef>
          </c:cat>
          <c:val>
            <c:numRef>
              <c:f>Analysis!$D$29:$K$29</c:f>
              <c:numCache>
                <c:formatCode>#,##0</c:formatCode>
                <c:ptCount val="8"/>
                <c:pt idx="0">
                  <c:v>35000</c:v>
                </c:pt>
                <c:pt idx="1">
                  <c:v>35000</c:v>
                </c:pt>
                <c:pt idx="2">
                  <c:v>50000</c:v>
                </c:pt>
                <c:pt idx="3">
                  <c:v>53067.827025008562</c:v>
                </c:pt>
                <c:pt idx="4">
                  <c:v>80000</c:v>
                </c:pt>
                <c:pt idx="5">
                  <c:v>85000</c:v>
                </c:pt>
                <c:pt idx="6">
                  <c:v>100000</c:v>
                </c:pt>
                <c:pt idx="7">
                  <c:v>250000</c:v>
                </c:pt>
              </c:numCache>
            </c:numRef>
          </c:val>
          <c:extLst>
            <c:ext xmlns:c16="http://schemas.microsoft.com/office/drawing/2014/chart" uri="{C3380CC4-5D6E-409C-BE32-E72D297353CC}">
              <c16:uniqueId val="{00000000-E593-489B-B1AC-42639BD5A194}"/>
            </c:ext>
          </c:extLst>
        </c:ser>
        <c:dLbls>
          <c:showLegendKey val="0"/>
          <c:showVal val="0"/>
          <c:showCatName val="0"/>
          <c:showSerName val="0"/>
          <c:showPercent val="0"/>
          <c:showBubbleSize val="0"/>
        </c:dLbls>
        <c:gapWidth val="30"/>
        <c:overlap val="-27"/>
        <c:axId val="356295039"/>
        <c:axId val="356304191"/>
      </c:barChart>
      <c:catAx>
        <c:axId val="356295039"/>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crossAx val="356304191"/>
        <c:crosses val="autoZero"/>
        <c:auto val="1"/>
        <c:lblAlgn val="ctr"/>
        <c:lblOffset val="100"/>
        <c:noMultiLvlLbl val="0"/>
      </c:catAx>
      <c:valAx>
        <c:axId val="356304191"/>
        <c:scaling>
          <c:orientation val="minMax"/>
        </c:scaling>
        <c:delete val="1"/>
        <c:axPos val="l"/>
        <c:numFmt formatCode="#,##0" sourceLinked="1"/>
        <c:majorTickMark val="out"/>
        <c:minorTickMark val="none"/>
        <c:tickLblPos val="nextTo"/>
        <c:crossAx val="356295039"/>
        <c:crosses val="autoZero"/>
        <c:crossBetween val="between"/>
      </c:valAx>
      <c:spPr>
        <a:noFill/>
        <a:ln w="25400">
          <a:noFill/>
        </a:ln>
        <a:effectLst/>
      </c:spPr>
    </c:plotArea>
    <c:plotVisOnly val="1"/>
    <c:dispBlanksAs val="gap"/>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Roboto" panose="02000000000000000000" pitchFamily="2" charset="0"/>
          <a:ea typeface="Roboto" panose="02000000000000000000" pitchFamily="2" charset="0"/>
          <a:cs typeface="Helvetica Neue"/>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Analysis!$D$42</c:f>
              <c:strCache>
                <c:ptCount val="1"/>
              </c:strCache>
            </c:strRef>
          </c:tx>
          <c:spPr>
            <a:solidFill>
              <a:srgbClr val="263238"/>
            </a:solidFill>
            <a:ln>
              <a:noFill/>
            </a:ln>
            <a:effectLst/>
            <a:extLst>
              <a:ext uri="{91240B29-F687-4F45-9708-019B960494DF}">
                <a14:hiddenLine xmlns:a14="http://schemas.microsoft.com/office/drawing/2010/main">
                  <a:noFill/>
                </a14:hiddenLine>
              </a:ext>
            </a:extLst>
          </c:spPr>
          <c:invertIfNegative val="0"/>
          <c:dPt>
            <c:idx val="10"/>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8E83-42F2-8BF0-E40854BE1A85}"/>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Analysis!$C$45:$C$58</c:f>
              <c:strCache>
                <c:ptCount val="14"/>
                <c:pt idx="0">
                  <c:v>Crown Castle</c:v>
                </c:pt>
                <c:pt idx="1">
                  <c:v>Bharti Infratel</c:v>
                </c:pt>
                <c:pt idx="2">
                  <c:v>China Tower</c:v>
                </c:pt>
                <c:pt idx="3">
                  <c:v>SBA</c:v>
                </c:pt>
                <c:pt idx="4">
                  <c:v>AMT</c:v>
                </c:pt>
                <c:pt idx="5">
                  <c:v>Vantage</c:v>
                </c:pt>
                <c:pt idx="6">
                  <c:v>Cellnex</c:v>
                </c:pt>
                <c:pt idx="7">
                  <c:v>IHS</c:v>
                </c:pt>
                <c:pt idx="8">
                  <c:v>Telesites</c:v>
                </c:pt>
                <c:pt idx="9">
                  <c:v>Inwit</c:v>
                </c:pt>
                <c:pt idx="10">
                  <c:v>Sitios</c:v>
                </c:pt>
                <c:pt idx="11">
                  <c:v>Mitratel</c:v>
                </c:pt>
                <c:pt idx="12">
                  <c:v>Tower Bersama</c:v>
                </c:pt>
                <c:pt idx="13">
                  <c:v>Sarana Menara</c:v>
                </c:pt>
              </c:strCache>
            </c:strRef>
          </c:cat>
          <c:val>
            <c:numRef>
              <c:f>Analysis!$D$45:$D$58</c:f>
              <c:numCache>
                <c:formatCode>0.0%</c:formatCode>
                <c:ptCount val="14"/>
                <c:pt idx="0">
                  <c:v>1E-3</c:v>
                </c:pt>
                <c:pt idx="1">
                  <c:v>3.5000000000000003E-2</c:v>
                </c:pt>
                <c:pt idx="2">
                  <c:v>0.04</c:v>
                </c:pt>
                <c:pt idx="3">
                  <c:v>6.2E-2</c:v>
                </c:pt>
                <c:pt idx="4">
                  <c:v>6.5000000000000002E-2</c:v>
                </c:pt>
                <c:pt idx="5">
                  <c:v>7.3999999999999996E-2</c:v>
                </c:pt>
                <c:pt idx="6">
                  <c:v>7.5999999999999998E-2</c:v>
                </c:pt>
                <c:pt idx="7">
                  <c:v>7.8213027580256611E-2</c:v>
                </c:pt>
                <c:pt idx="8">
                  <c:v>8.2000000000000003E-2</c:v>
                </c:pt>
                <c:pt idx="9">
                  <c:v>8.3000000000000004E-2</c:v>
                </c:pt>
                <c:pt idx="10">
                  <c:v>0.11045092337557283</c:v>
                </c:pt>
                <c:pt idx="11">
                  <c:v>0.105</c:v>
                </c:pt>
                <c:pt idx="12">
                  <c:v>0.123</c:v>
                </c:pt>
                <c:pt idx="13">
                  <c:v>0.155</c:v>
                </c:pt>
              </c:numCache>
            </c:numRef>
          </c:val>
          <c:extLst>
            <c:ext xmlns:c16="http://schemas.microsoft.com/office/drawing/2014/chart" uri="{C3380CC4-5D6E-409C-BE32-E72D297353CC}">
              <c16:uniqueId val="{00000000-8D46-4E30-9278-040F09C71F4A}"/>
            </c:ext>
          </c:extLst>
        </c:ser>
        <c:dLbls>
          <c:showLegendKey val="0"/>
          <c:showVal val="0"/>
          <c:showCatName val="0"/>
          <c:showSerName val="0"/>
          <c:showPercent val="0"/>
          <c:showBubbleSize val="0"/>
        </c:dLbls>
        <c:gapWidth val="30"/>
        <c:overlap val="-27"/>
        <c:axId val="199558847"/>
        <c:axId val="199555103"/>
      </c:barChart>
      <c:catAx>
        <c:axId val="199558847"/>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99555103"/>
        <c:crosses val="autoZero"/>
        <c:auto val="1"/>
        <c:lblAlgn val="ctr"/>
        <c:lblOffset val="100"/>
        <c:noMultiLvlLbl val="0"/>
      </c:catAx>
      <c:valAx>
        <c:axId val="199555103"/>
        <c:scaling>
          <c:orientation val="minMax"/>
        </c:scaling>
        <c:delete val="1"/>
        <c:axPos val="l"/>
        <c:numFmt formatCode="0.0%" sourceLinked="1"/>
        <c:majorTickMark val="out"/>
        <c:minorTickMark val="none"/>
        <c:tickLblPos val="nextTo"/>
        <c:crossAx val="199558847"/>
        <c:crosses val="autoZero"/>
        <c:crossBetween val="between"/>
      </c:valAx>
      <c:spPr>
        <a:noFill/>
        <a:ln w="25400">
          <a:noFill/>
        </a:ln>
        <a:effectLst/>
      </c:spPr>
    </c:plotArea>
    <c:plotVisOnly val="1"/>
    <c:dispBlanksAs val="gap"/>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Analysis!$H$42</c:f>
              <c:strCache>
                <c:ptCount val="1"/>
              </c:strCache>
            </c:strRef>
          </c:tx>
          <c:spPr>
            <a:solidFill>
              <a:srgbClr val="263238"/>
            </a:solidFill>
            <a:ln>
              <a:noFill/>
            </a:ln>
            <a:effectLst/>
            <a:extLst>
              <a:ext uri="{91240B29-F687-4F45-9708-019B960494DF}">
                <a14:hiddenLine xmlns:a14="http://schemas.microsoft.com/office/drawing/2010/main">
                  <a:noFill/>
                </a14:hiddenLine>
              </a:ext>
            </a:extLst>
          </c:spPr>
          <c:invertIfNegative val="0"/>
          <c:dPt>
            <c:idx val="7"/>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4B60-48AD-9416-2CE5C816D6D0}"/>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Analysis!$G$45:$G$58</c:f>
              <c:strCache>
                <c:ptCount val="14"/>
                <c:pt idx="0">
                  <c:v>Bharti Infratel</c:v>
                </c:pt>
                <c:pt idx="1">
                  <c:v>Crown Castle</c:v>
                </c:pt>
                <c:pt idx="2">
                  <c:v>China Tower</c:v>
                </c:pt>
                <c:pt idx="3">
                  <c:v>SBA</c:v>
                </c:pt>
                <c:pt idx="4">
                  <c:v>Telesites</c:v>
                </c:pt>
                <c:pt idx="5">
                  <c:v>AMT</c:v>
                </c:pt>
                <c:pt idx="6">
                  <c:v>Vantage</c:v>
                </c:pt>
                <c:pt idx="7">
                  <c:v>Sitios</c:v>
                </c:pt>
                <c:pt idx="8">
                  <c:v>Tower Bersama</c:v>
                </c:pt>
                <c:pt idx="9">
                  <c:v>Inwit</c:v>
                </c:pt>
                <c:pt idx="10">
                  <c:v>Mitratel</c:v>
                </c:pt>
                <c:pt idx="11">
                  <c:v>Cellnex</c:v>
                </c:pt>
                <c:pt idx="12">
                  <c:v>IHS</c:v>
                </c:pt>
                <c:pt idx="13">
                  <c:v>Sarana Menara</c:v>
                </c:pt>
              </c:strCache>
            </c:strRef>
          </c:cat>
          <c:val>
            <c:numRef>
              <c:f>Analysis!$H$45:$H$58</c:f>
              <c:numCache>
                <c:formatCode>0.0%</c:formatCode>
                <c:ptCount val="14"/>
                <c:pt idx="0">
                  <c:v>-2E-3</c:v>
                </c:pt>
                <c:pt idx="1">
                  <c:v>-2E-3</c:v>
                </c:pt>
                <c:pt idx="2">
                  <c:v>4.2999999999999997E-2</c:v>
                </c:pt>
                <c:pt idx="3">
                  <c:v>6.5000000000000002E-2</c:v>
                </c:pt>
                <c:pt idx="4">
                  <c:v>8.2000000000000003E-2</c:v>
                </c:pt>
                <c:pt idx="5">
                  <c:v>8.3000000000000004E-2</c:v>
                </c:pt>
                <c:pt idx="6">
                  <c:v>9.0999999999999998E-2</c:v>
                </c:pt>
                <c:pt idx="7">
                  <c:v>7.817394663227395E-2</c:v>
                </c:pt>
                <c:pt idx="8">
                  <c:v>0.113</c:v>
                </c:pt>
                <c:pt idx="9">
                  <c:v>0.11600000000000001</c:v>
                </c:pt>
                <c:pt idx="10">
                  <c:v>0.122</c:v>
                </c:pt>
                <c:pt idx="11">
                  <c:v>0.123</c:v>
                </c:pt>
                <c:pt idx="12">
                  <c:v>0.125763120261005</c:v>
                </c:pt>
                <c:pt idx="13">
                  <c:v>0.157</c:v>
                </c:pt>
              </c:numCache>
            </c:numRef>
          </c:val>
          <c:extLst>
            <c:ext xmlns:c16="http://schemas.microsoft.com/office/drawing/2014/chart" uri="{C3380CC4-5D6E-409C-BE32-E72D297353CC}">
              <c16:uniqueId val="{00000000-D130-4006-A713-1F16FAE3F542}"/>
            </c:ext>
          </c:extLst>
        </c:ser>
        <c:dLbls>
          <c:showLegendKey val="0"/>
          <c:showVal val="0"/>
          <c:showCatName val="0"/>
          <c:showSerName val="0"/>
          <c:showPercent val="0"/>
          <c:showBubbleSize val="0"/>
        </c:dLbls>
        <c:gapWidth val="30"/>
        <c:overlap val="-27"/>
        <c:axId val="199558847"/>
        <c:axId val="199555103"/>
      </c:barChart>
      <c:catAx>
        <c:axId val="199558847"/>
        <c:scaling>
          <c:orientation val="minMax"/>
        </c:scaling>
        <c:delete val="0"/>
        <c:axPos val="b"/>
        <c:numFmt formatCode="General" sourceLinked="1"/>
        <c:majorTickMark val="out"/>
        <c:minorTickMark val="none"/>
        <c:tickLblPos val="low"/>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99555103"/>
        <c:crosses val="autoZero"/>
        <c:auto val="1"/>
        <c:lblAlgn val="ctr"/>
        <c:lblOffset val="100"/>
        <c:noMultiLvlLbl val="0"/>
      </c:catAx>
      <c:valAx>
        <c:axId val="199555103"/>
        <c:scaling>
          <c:orientation val="minMax"/>
        </c:scaling>
        <c:delete val="1"/>
        <c:axPos val="l"/>
        <c:numFmt formatCode="0.0%" sourceLinked="1"/>
        <c:majorTickMark val="out"/>
        <c:minorTickMark val="none"/>
        <c:tickLblPos val="nextTo"/>
        <c:crossAx val="199558847"/>
        <c:crosses val="autoZero"/>
        <c:crossBetween val="between"/>
      </c:valAx>
      <c:spPr>
        <a:noFill/>
        <a:ln w="25400">
          <a:noFill/>
        </a:ln>
        <a:effectLst/>
      </c:spPr>
    </c:plotArea>
    <c:plotVisOnly val="1"/>
    <c:dispBlanksAs val="gap"/>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Analysis!$R$88</c:f>
              <c:strCache>
                <c:ptCount val="1"/>
              </c:strCache>
            </c:strRef>
          </c:tx>
          <c:spPr>
            <a:solidFill>
              <a:srgbClr val="263238"/>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9093-4C1E-B22B-CF6F6952095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595959"/>
                    </a:solidFill>
                    <a:latin typeface="Helvetica Neue"/>
                    <a:ea typeface="Helvetica Neue"/>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Analysis!$Q$89:$Q$101</c:f>
              <c:strCache>
                <c:ptCount val="13"/>
                <c:pt idx="0">
                  <c:v>Telesites</c:v>
                </c:pt>
                <c:pt idx="1">
                  <c:v>Sitios</c:v>
                </c:pt>
                <c:pt idx="2">
                  <c:v>Cellnex</c:v>
                </c:pt>
                <c:pt idx="3">
                  <c:v>Vantage Towers</c:v>
                </c:pt>
                <c:pt idx="4">
                  <c:v>Mitratel</c:v>
                </c:pt>
                <c:pt idx="5">
                  <c:v>IHS</c:v>
                </c:pt>
                <c:pt idx="6">
                  <c:v>Indus Tower</c:v>
                </c:pt>
                <c:pt idx="7">
                  <c:v>Sarana Menara</c:v>
                </c:pt>
                <c:pt idx="8">
                  <c:v>SBA </c:v>
                </c:pt>
                <c:pt idx="9">
                  <c:v>Tower Bersama</c:v>
                </c:pt>
                <c:pt idx="10">
                  <c:v>Crown Castle</c:v>
                </c:pt>
                <c:pt idx="11">
                  <c:v>Inwit</c:v>
                </c:pt>
                <c:pt idx="12">
                  <c:v>American Tower</c:v>
                </c:pt>
              </c:strCache>
            </c:strRef>
          </c:cat>
          <c:val>
            <c:numRef>
              <c:f>Analysis!$R$89:$R$101</c:f>
              <c:numCache>
                <c:formatCode>0.00\x</c:formatCode>
                <c:ptCount val="13"/>
                <c:pt idx="0">
                  <c:v>1.1742908986725242</c:v>
                </c:pt>
                <c:pt idx="1">
                  <c:v>1.19</c:v>
                </c:pt>
                <c:pt idx="2">
                  <c:v>1.3590716093156912</c:v>
                </c:pt>
                <c:pt idx="3">
                  <c:v>1.4877034190770984</c:v>
                </c:pt>
                <c:pt idx="4">
                  <c:v>1.5101042331418848</c:v>
                </c:pt>
                <c:pt idx="5">
                  <c:v>1.5162838643172374</c:v>
                </c:pt>
                <c:pt idx="6">
                  <c:v>1.8107114161997766</c:v>
                </c:pt>
                <c:pt idx="7">
                  <c:v>1.8807930866262457</c:v>
                </c:pt>
                <c:pt idx="8">
                  <c:v>1.8968649174432963</c:v>
                </c:pt>
                <c:pt idx="9">
                  <c:v>1.8995043250072894</c:v>
                </c:pt>
                <c:pt idx="10">
                  <c:v>2.148265550239234</c:v>
                </c:pt>
                <c:pt idx="11">
                  <c:v>2.1728283261802575</c:v>
                </c:pt>
                <c:pt idx="12">
                  <c:v>2.1799999999999962</c:v>
                </c:pt>
              </c:numCache>
            </c:numRef>
          </c:val>
          <c:extLst>
            <c:ext xmlns:c16="http://schemas.microsoft.com/office/drawing/2014/chart" uri="{C3380CC4-5D6E-409C-BE32-E72D297353CC}">
              <c16:uniqueId val="{00000000-C822-412F-87B6-05159B73183A}"/>
            </c:ext>
          </c:extLst>
        </c:ser>
        <c:dLbls>
          <c:showLegendKey val="0"/>
          <c:showVal val="0"/>
          <c:showCatName val="0"/>
          <c:showSerName val="0"/>
          <c:showPercent val="0"/>
          <c:showBubbleSize val="0"/>
        </c:dLbls>
        <c:gapWidth val="30"/>
        <c:overlap val="-27"/>
        <c:axId val="1945197456"/>
        <c:axId val="1945191632"/>
      </c:barChart>
      <c:catAx>
        <c:axId val="1945197456"/>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945191632"/>
        <c:crosses val="autoZero"/>
        <c:auto val="1"/>
        <c:lblAlgn val="ctr"/>
        <c:lblOffset val="100"/>
        <c:noMultiLvlLbl val="0"/>
      </c:catAx>
      <c:valAx>
        <c:axId val="1945191632"/>
        <c:scaling>
          <c:orientation val="minMax"/>
        </c:scaling>
        <c:delete val="1"/>
        <c:axPos val="l"/>
        <c:numFmt formatCode="0.00\x" sourceLinked="1"/>
        <c:majorTickMark val="out"/>
        <c:minorTickMark val="none"/>
        <c:tickLblPos val="nextTo"/>
        <c:crossAx val="1945197456"/>
        <c:crosses val="autoZero"/>
        <c:crossBetween val="between"/>
      </c:valAx>
      <c:spPr>
        <a:noFill/>
        <a:ln w="25400">
          <a:noFill/>
        </a:ln>
        <a:effectLst/>
      </c:spPr>
    </c:plotArea>
    <c:plotVisOnly val="1"/>
    <c:dispBlanksAs val="gap"/>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Analysis!$E$102</c:f>
              <c:strCache>
                <c:ptCount val="1"/>
              </c:strCache>
            </c:strRef>
          </c:tx>
          <c:spPr>
            <a:solidFill>
              <a:srgbClr val="263238"/>
            </a:solidFill>
            <a:ln>
              <a:noFill/>
            </a:ln>
            <a:effectLst/>
            <a:extLst>
              <a:ext uri="{91240B29-F687-4F45-9708-019B960494DF}">
                <a14:hiddenLine xmlns:a14="http://schemas.microsoft.com/office/drawing/2010/main">
                  <a:noFill/>
                </a14:hiddenLine>
              </a:ext>
            </a:extLst>
          </c:spPr>
          <c:invertIfNegative val="0"/>
          <c:dPt>
            <c:idx val="3"/>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02FE-4BA8-A9C1-2E96CBAFEC17}"/>
              </c:ext>
            </c:extLst>
          </c:dPt>
          <c:dPt>
            <c:idx val="6"/>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3B37-4A80-B96D-3CF56D07A22D}"/>
              </c:ext>
            </c:extLst>
          </c:dPt>
          <c:dPt>
            <c:idx val="9"/>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3B37-4A80-B96D-3CF56D07A22D}"/>
              </c:ext>
            </c:extLst>
          </c:dPt>
          <c:dPt>
            <c:idx val="11"/>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8-3B37-4A80-B96D-3CF56D07A22D}"/>
              </c:ext>
            </c:extLst>
          </c:dPt>
          <c:dPt>
            <c:idx val="12"/>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3B37-4A80-B96D-3CF56D07A22D}"/>
              </c:ext>
            </c:extLst>
          </c:dPt>
          <c:dPt>
            <c:idx val="13"/>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A-3B37-4A80-B96D-3CF56D07A22D}"/>
              </c:ext>
            </c:extLst>
          </c:dPt>
          <c:dPt>
            <c:idx val="14"/>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0-02FE-4BA8-A9C1-2E96CBAFEC17}"/>
              </c:ext>
            </c:extLst>
          </c:dPt>
          <c:dPt>
            <c:idx val="16"/>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3B37-4A80-B96D-3CF56D07A22D}"/>
              </c:ext>
            </c:extLst>
          </c:dPt>
          <c:dPt>
            <c:idx val="19"/>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C-3B37-4A80-B96D-3CF56D07A22D}"/>
              </c:ext>
            </c:extLst>
          </c:dPt>
          <c:dPt>
            <c:idx val="20"/>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2-3B37-4A80-B96D-3CF56D07A22D}"/>
              </c:ext>
            </c:extLst>
          </c:dPt>
          <c:dPt>
            <c:idx val="21"/>
            <c:invertIfNegative val="0"/>
            <c:bubble3D val="0"/>
            <c:spPr>
              <a:solidFill>
                <a:schemeClr val="tx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3B37-4A80-B96D-3CF56D07A22D}"/>
              </c:ext>
            </c:extLst>
          </c:dPt>
          <c:dPt>
            <c:idx val="23"/>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E-3B37-4A80-B96D-3CF56D07A22D}"/>
              </c:ext>
            </c:extLst>
          </c:dPt>
          <c:dPt>
            <c:idx val="24"/>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3B37-4A80-B96D-3CF56D07A22D}"/>
              </c:ext>
            </c:extLst>
          </c:dPt>
          <c:dPt>
            <c:idx val="25"/>
            <c:invertIfNegative val="0"/>
            <c:bubble3D val="0"/>
            <c:spPr>
              <a:solidFill>
                <a:srgbClr val="92D05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1-3B37-4A80-B96D-3CF56D07A22D}"/>
              </c:ext>
            </c:extLst>
          </c:dPt>
          <c:dPt>
            <c:idx val="26"/>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0-3B37-4A80-B96D-3CF56D07A22D}"/>
              </c:ext>
            </c:extLst>
          </c:dPt>
          <c:cat>
            <c:strRef>
              <c:f>Analysis!$C$103:$C$134</c:f>
              <c:strCache>
                <c:ptCount val="32"/>
                <c:pt idx="0">
                  <c:v>China</c:v>
                </c:pt>
                <c:pt idx="1">
                  <c:v>Kuwait</c:v>
                </c:pt>
                <c:pt idx="2">
                  <c:v>France</c:v>
                </c:pt>
                <c:pt idx="3">
                  <c:v>Panama</c:v>
                </c:pt>
                <c:pt idx="4">
                  <c:v>Spain</c:v>
                </c:pt>
                <c:pt idx="5">
                  <c:v>Germany</c:v>
                </c:pt>
                <c:pt idx="6">
                  <c:v>Costa Rica</c:v>
                </c:pt>
                <c:pt idx="7">
                  <c:v>Italy</c:v>
                </c:pt>
                <c:pt idx="8">
                  <c:v>UK</c:v>
                </c:pt>
                <c:pt idx="9">
                  <c:v>Paraguay</c:v>
                </c:pt>
                <c:pt idx="10">
                  <c:v>Poland</c:v>
                </c:pt>
                <c:pt idx="11">
                  <c:v>Chile</c:v>
                </c:pt>
                <c:pt idx="12">
                  <c:v>Panama</c:v>
                </c:pt>
                <c:pt idx="13">
                  <c:v>Peru</c:v>
                </c:pt>
                <c:pt idx="14">
                  <c:v>El Salvador</c:v>
                </c:pt>
                <c:pt idx="15">
                  <c:v>South Africa</c:v>
                </c:pt>
                <c:pt idx="16">
                  <c:v>Guatemala</c:v>
                </c:pt>
                <c:pt idx="17">
                  <c:v>India</c:v>
                </c:pt>
                <c:pt idx="18">
                  <c:v>US</c:v>
                </c:pt>
                <c:pt idx="19">
                  <c:v>Guatemala</c:v>
                </c:pt>
                <c:pt idx="20">
                  <c:v>Sitios (average)</c:v>
                </c:pt>
                <c:pt idx="21">
                  <c:v>Indonesia</c:v>
                </c:pt>
                <c:pt idx="22">
                  <c:v>Ecuador</c:v>
                </c:pt>
                <c:pt idx="23">
                  <c:v>Argentina</c:v>
                </c:pt>
                <c:pt idx="24">
                  <c:v>Brazil</c:v>
                </c:pt>
                <c:pt idx="25">
                  <c:v>Mexico</c:v>
                </c:pt>
                <c:pt idx="26">
                  <c:v>Nicaragua</c:v>
                </c:pt>
                <c:pt idx="27">
                  <c:v>Cameroon</c:v>
                </c:pt>
                <c:pt idx="28">
                  <c:v>Zambia</c:v>
                </c:pt>
                <c:pt idx="29">
                  <c:v>Nigeria</c:v>
                </c:pt>
                <c:pt idx="30">
                  <c:v>Cote D'Ivoire</c:v>
                </c:pt>
                <c:pt idx="31">
                  <c:v>Rwanda</c:v>
                </c:pt>
              </c:strCache>
            </c:strRef>
          </c:cat>
          <c:val>
            <c:numRef>
              <c:f>Analysis!$E$103:$E$134</c:f>
              <c:numCache>
                <c:formatCode>#,##0</c:formatCode>
                <c:ptCount val="32"/>
                <c:pt idx="0">
                  <c:v>684.93150684931504</c:v>
                </c:pt>
                <c:pt idx="1">
                  <c:v>723.02932472423993</c:v>
                </c:pt>
                <c:pt idx="2">
                  <c:v>878.2318265891339</c:v>
                </c:pt>
                <c:pt idx="3">
                  <c:v>1048.780487804878</c:v>
                </c:pt>
                <c:pt idx="4">
                  <c:v>1102.148016133571</c:v>
                </c:pt>
                <c:pt idx="5">
                  <c:v>1160.4584527220632</c:v>
                </c:pt>
                <c:pt idx="6">
                  <c:v>1166.5888940737284</c:v>
                </c:pt>
                <c:pt idx="7">
                  <c:v>1435.4066985645934</c:v>
                </c:pt>
                <c:pt idx="8">
                  <c:v>1553.3980582524271</c:v>
                </c:pt>
                <c:pt idx="9">
                  <c:v>1651.5468713654338</c:v>
                </c:pt>
                <c:pt idx="10">
                  <c:v>1839.6226415094341</c:v>
                </c:pt>
                <c:pt idx="11">
                  <c:v>1908.0136573609159</c:v>
                </c:pt>
                <c:pt idx="12">
                  <c:v>1943.9421338155516</c:v>
                </c:pt>
                <c:pt idx="13">
                  <c:v>2218.3382629739176</c:v>
                </c:pt>
                <c:pt idx="14">
                  <c:v>2279.9017888460189</c:v>
                </c:pt>
                <c:pt idx="15">
                  <c:v>2362.5767837454719</c:v>
                </c:pt>
                <c:pt idx="16">
                  <c:v>2421.6524216524217</c:v>
                </c:pt>
                <c:pt idx="17">
                  <c:v>2439.0243902439024</c:v>
                </c:pt>
                <c:pt idx="18">
                  <c:v>2515.3846153846152</c:v>
                </c:pt>
                <c:pt idx="19">
                  <c:v>2608.1620128873888</c:v>
                </c:pt>
                <c:pt idx="20">
                  <c:v>2746.9978869247029</c:v>
                </c:pt>
                <c:pt idx="21">
                  <c:v>2857.1428571428573</c:v>
                </c:pt>
                <c:pt idx="22">
                  <c:v>3007.5187969924814</c:v>
                </c:pt>
                <c:pt idx="23">
                  <c:v>3078.3964974688738</c:v>
                </c:pt>
                <c:pt idx="24">
                  <c:v>3092.0918292931947</c:v>
                </c:pt>
                <c:pt idx="25">
                  <c:v>3450</c:v>
                </c:pt>
                <c:pt idx="26">
                  <c:v>3689.2118501956402</c:v>
                </c:pt>
                <c:pt idx="27">
                  <c:v>5222.1706864564012</c:v>
                </c:pt>
                <c:pt idx="28">
                  <c:v>5414.4243038542663</c:v>
                </c:pt>
                <c:pt idx="29">
                  <c:v>5497.9415290009902</c:v>
                </c:pt>
                <c:pt idx="30">
                  <c:v>6625.7912227512625</c:v>
                </c:pt>
                <c:pt idx="31">
                  <c:v>8109.7776556105309</c:v>
                </c:pt>
              </c:numCache>
            </c:numRef>
          </c:val>
          <c:extLst>
            <c:ext xmlns:c16="http://schemas.microsoft.com/office/drawing/2014/chart" uri="{C3380CC4-5D6E-409C-BE32-E72D297353CC}">
              <c16:uniqueId val="{00000000-7A66-4B2D-BE60-F084BE0C9AAD}"/>
            </c:ext>
          </c:extLst>
        </c:ser>
        <c:dLbls>
          <c:showLegendKey val="0"/>
          <c:showVal val="0"/>
          <c:showCatName val="0"/>
          <c:showSerName val="0"/>
          <c:showPercent val="0"/>
          <c:showBubbleSize val="0"/>
        </c:dLbls>
        <c:gapWidth val="30"/>
        <c:overlap val="-27"/>
        <c:axId val="1073016768"/>
        <c:axId val="1073025920"/>
      </c:barChart>
      <c:catAx>
        <c:axId val="1073016768"/>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073025920"/>
        <c:crosses val="autoZero"/>
        <c:auto val="1"/>
        <c:lblAlgn val="ctr"/>
        <c:lblOffset val="100"/>
        <c:noMultiLvlLbl val="0"/>
      </c:catAx>
      <c:valAx>
        <c:axId val="1073025920"/>
        <c:scaling>
          <c:orientation val="minMax"/>
        </c:scaling>
        <c:delete val="0"/>
        <c:axPos val="l"/>
        <c:numFmt formatCode="#,##0" sourceLinked="1"/>
        <c:majorTickMark val="out"/>
        <c:minorTickMark val="none"/>
        <c:tickLblPos val="nextTo"/>
        <c:spPr>
          <a:noFill/>
          <a:ln>
            <a:solidFill>
              <a:srgbClr val="B3B3B3"/>
            </a:solidFill>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073016768"/>
        <c:crosses val="autoZero"/>
        <c:crossBetween val="between"/>
      </c:valAx>
      <c:spPr>
        <a:noFill/>
        <a:ln w="25400">
          <a:noFill/>
        </a:ln>
        <a:effectLst/>
      </c:spPr>
    </c:plotArea>
    <c:plotVisOnly val="1"/>
    <c:dispBlanksAs val="gap"/>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Analysis!$D$161</c:f>
              <c:strCache>
                <c:ptCount val="1"/>
                <c:pt idx="0">
                  <c:v>No 1</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Analysis!$C$162:$C$174</c:f>
              <c:strCache>
                <c:ptCount val="13"/>
                <c:pt idx="0">
                  <c:v>Brazil</c:v>
                </c:pt>
                <c:pt idx="1">
                  <c:v>Argentina</c:v>
                </c:pt>
                <c:pt idx="2">
                  <c:v>Guatemala</c:v>
                </c:pt>
                <c:pt idx="3">
                  <c:v>Chile</c:v>
                </c:pt>
                <c:pt idx="4">
                  <c:v>Ecuador</c:v>
                </c:pt>
                <c:pt idx="5">
                  <c:v>Honduras</c:v>
                </c:pt>
                <c:pt idx="6">
                  <c:v>El Salvador</c:v>
                </c:pt>
                <c:pt idx="7">
                  <c:v>Nicaragua</c:v>
                </c:pt>
                <c:pt idx="8">
                  <c:v>Paraguay</c:v>
                </c:pt>
                <c:pt idx="9">
                  <c:v>Costa Rica</c:v>
                </c:pt>
                <c:pt idx="10">
                  <c:v>Uruguay</c:v>
                </c:pt>
                <c:pt idx="11">
                  <c:v>Panama</c:v>
                </c:pt>
                <c:pt idx="12">
                  <c:v>Puerto Rico</c:v>
                </c:pt>
              </c:strCache>
            </c:strRef>
          </c:cat>
          <c:val>
            <c:numRef>
              <c:f>Analysis!$D$162:$D$174</c:f>
              <c:numCache>
                <c:formatCode>0%</c:formatCode>
                <c:ptCount val="13"/>
                <c:pt idx="0">
                  <c:v>0.41499999999999998</c:v>
                </c:pt>
                <c:pt idx="1">
                  <c:v>0.33300000000000002</c:v>
                </c:pt>
                <c:pt idx="2">
                  <c:v>0.6</c:v>
                </c:pt>
                <c:pt idx="3">
                  <c:v>0.39300000000000002</c:v>
                </c:pt>
                <c:pt idx="4">
                  <c:v>0.5</c:v>
                </c:pt>
                <c:pt idx="5">
                  <c:v>0.6</c:v>
                </c:pt>
                <c:pt idx="6">
                  <c:v>0.3</c:v>
                </c:pt>
                <c:pt idx="7">
                  <c:v>0.53</c:v>
                </c:pt>
                <c:pt idx="8">
                  <c:v>0.45</c:v>
                </c:pt>
                <c:pt idx="9">
                  <c:v>0.5</c:v>
                </c:pt>
                <c:pt idx="10">
                  <c:v>0.35</c:v>
                </c:pt>
                <c:pt idx="11">
                  <c:v>0.5</c:v>
                </c:pt>
                <c:pt idx="12">
                  <c:v>0.36</c:v>
                </c:pt>
              </c:numCache>
            </c:numRef>
          </c:val>
          <c:extLst>
            <c:ext xmlns:c16="http://schemas.microsoft.com/office/drawing/2014/chart" uri="{C3380CC4-5D6E-409C-BE32-E72D297353CC}">
              <c16:uniqueId val="{00000000-9D58-4070-8EF7-D04833CE7C7B}"/>
            </c:ext>
          </c:extLst>
        </c:ser>
        <c:ser>
          <c:idx val="1"/>
          <c:order val="1"/>
          <c:tx>
            <c:strRef>
              <c:f>Analysis!$E$161</c:f>
              <c:strCache>
                <c:ptCount val="1"/>
                <c:pt idx="0">
                  <c:v>No 2</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Analysis!$C$162:$C$174</c:f>
              <c:strCache>
                <c:ptCount val="13"/>
                <c:pt idx="0">
                  <c:v>Brazil</c:v>
                </c:pt>
                <c:pt idx="1">
                  <c:v>Argentina</c:v>
                </c:pt>
                <c:pt idx="2">
                  <c:v>Guatemala</c:v>
                </c:pt>
                <c:pt idx="3">
                  <c:v>Chile</c:v>
                </c:pt>
                <c:pt idx="4">
                  <c:v>Ecuador</c:v>
                </c:pt>
                <c:pt idx="5">
                  <c:v>Honduras</c:v>
                </c:pt>
                <c:pt idx="6">
                  <c:v>El Salvador</c:v>
                </c:pt>
                <c:pt idx="7">
                  <c:v>Nicaragua</c:v>
                </c:pt>
                <c:pt idx="8">
                  <c:v>Paraguay</c:v>
                </c:pt>
                <c:pt idx="9">
                  <c:v>Costa Rica</c:v>
                </c:pt>
                <c:pt idx="10">
                  <c:v>Uruguay</c:v>
                </c:pt>
                <c:pt idx="11">
                  <c:v>Panama</c:v>
                </c:pt>
                <c:pt idx="12">
                  <c:v>Puerto Rico</c:v>
                </c:pt>
              </c:strCache>
            </c:strRef>
          </c:cat>
          <c:val>
            <c:numRef>
              <c:f>Analysis!$E$162:$E$174</c:f>
              <c:numCache>
                <c:formatCode>0%</c:formatCode>
                <c:ptCount val="13"/>
                <c:pt idx="0">
                  <c:v>0.3</c:v>
                </c:pt>
                <c:pt idx="1">
                  <c:v>0.33300000000000002</c:v>
                </c:pt>
                <c:pt idx="2">
                  <c:v>0.4</c:v>
                </c:pt>
                <c:pt idx="3">
                  <c:v>0.27500000000000002</c:v>
                </c:pt>
                <c:pt idx="4">
                  <c:v>0.3</c:v>
                </c:pt>
                <c:pt idx="5">
                  <c:v>0.38</c:v>
                </c:pt>
                <c:pt idx="6">
                  <c:v>0.28999999999999998</c:v>
                </c:pt>
                <c:pt idx="7">
                  <c:v>0.47</c:v>
                </c:pt>
                <c:pt idx="8">
                  <c:v>0.35000000000000003</c:v>
                </c:pt>
                <c:pt idx="9">
                  <c:v>0.25</c:v>
                </c:pt>
                <c:pt idx="10">
                  <c:v>0.34</c:v>
                </c:pt>
                <c:pt idx="11">
                  <c:v>0.42000000000000004</c:v>
                </c:pt>
                <c:pt idx="12">
                  <c:v>0.3</c:v>
                </c:pt>
              </c:numCache>
            </c:numRef>
          </c:val>
          <c:extLst>
            <c:ext xmlns:c16="http://schemas.microsoft.com/office/drawing/2014/chart" uri="{C3380CC4-5D6E-409C-BE32-E72D297353CC}">
              <c16:uniqueId val="{00000001-9D58-4070-8EF7-D04833CE7C7B}"/>
            </c:ext>
          </c:extLst>
        </c:ser>
        <c:ser>
          <c:idx val="2"/>
          <c:order val="2"/>
          <c:tx>
            <c:strRef>
              <c:f>Analysis!$F$161</c:f>
              <c:strCache>
                <c:ptCount val="1"/>
                <c:pt idx="0">
                  <c:v>No 3</c:v>
                </c:pt>
              </c:strCache>
            </c:strRef>
          </c:tx>
          <c:spPr>
            <a:solidFill>
              <a:srgbClr val="F9663E"/>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Analysis!$C$162:$C$174</c:f>
              <c:strCache>
                <c:ptCount val="13"/>
                <c:pt idx="0">
                  <c:v>Brazil</c:v>
                </c:pt>
                <c:pt idx="1">
                  <c:v>Argentina</c:v>
                </c:pt>
                <c:pt idx="2">
                  <c:v>Guatemala</c:v>
                </c:pt>
                <c:pt idx="3">
                  <c:v>Chile</c:v>
                </c:pt>
                <c:pt idx="4">
                  <c:v>Ecuador</c:v>
                </c:pt>
                <c:pt idx="5">
                  <c:v>Honduras</c:v>
                </c:pt>
                <c:pt idx="6">
                  <c:v>El Salvador</c:v>
                </c:pt>
                <c:pt idx="7">
                  <c:v>Nicaragua</c:v>
                </c:pt>
                <c:pt idx="8">
                  <c:v>Paraguay</c:v>
                </c:pt>
                <c:pt idx="9">
                  <c:v>Costa Rica</c:v>
                </c:pt>
                <c:pt idx="10">
                  <c:v>Uruguay</c:v>
                </c:pt>
                <c:pt idx="11">
                  <c:v>Panama</c:v>
                </c:pt>
                <c:pt idx="12">
                  <c:v>Puerto Rico</c:v>
                </c:pt>
              </c:strCache>
            </c:strRef>
          </c:cat>
          <c:val>
            <c:numRef>
              <c:f>Analysis!$F$162:$F$174</c:f>
              <c:numCache>
                <c:formatCode>0%</c:formatCode>
                <c:ptCount val="13"/>
                <c:pt idx="0">
                  <c:v>0.28499999999999998</c:v>
                </c:pt>
                <c:pt idx="1">
                  <c:v>0.33400000000000002</c:v>
                </c:pt>
                <c:pt idx="3">
                  <c:v>0.19</c:v>
                </c:pt>
                <c:pt idx="4">
                  <c:v>0.2</c:v>
                </c:pt>
                <c:pt idx="5">
                  <c:v>2.0000000000000018E-2</c:v>
                </c:pt>
                <c:pt idx="6">
                  <c:v>0.27</c:v>
                </c:pt>
                <c:pt idx="8">
                  <c:v>0.12</c:v>
                </c:pt>
                <c:pt idx="9">
                  <c:v>0.25</c:v>
                </c:pt>
                <c:pt idx="10">
                  <c:v>0.31</c:v>
                </c:pt>
                <c:pt idx="11">
                  <c:v>7.999999999999996E-2</c:v>
                </c:pt>
                <c:pt idx="12">
                  <c:v>0.34</c:v>
                </c:pt>
              </c:numCache>
            </c:numRef>
          </c:val>
          <c:extLst>
            <c:ext xmlns:c16="http://schemas.microsoft.com/office/drawing/2014/chart" uri="{C3380CC4-5D6E-409C-BE32-E72D297353CC}">
              <c16:uniqueId val="{00000002-9D58-4070-8EF7-D04833CE7C7B}"/>
            </c:ext>
          </c:extLst>
        </c:ser>
        <c:ser>
          <c:idx val="3"/>
          <c:order val="3"/>
          <c:tx>
            <c:strRef>
              <c:f>Analysis!$G$161</c:f>
              <c:strCache>
                <c:ptCount val="1"/>
                <c:pt idx="0">
                  <c:v>No 4</c:v>
                </c:pt>
              </c:strCache>
            </c:strRef>
          </c:tx>
          <c:spPr>
            <a:solidFill>
              <a:srgbClr val="C7FE0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Analysis!$C$162:$C$174</c:f>
              <c:strCache>
                <c:ptCount val="13"/>
                <c:pt idx="0">
                  <c:v>Brazil</c:v>
                </c:pt>
                <c:pt idx="1">
                  <c:v>Argentina</c:v>
                </c:pt>
                <c:pt idx="2">
                  <c:v>Guatemala</c:v>
                </c:pt>
                <c:pt idx="3">
                  <c:v>Chile</c:v>
                </c:pt>
                <c:pt idx="4">
                  <c:v>Ecuador</c:v>
                </c:pt>
                <c:pt idx="5">
                  <c:v>Honduras</c:v>
                </c:pt>
                <c:pt idx="6">
                  <c:v>El Salvador</c:v>
                </c:pt>
                <c:pt idx="7">
                  <c:v>Nicaragua</c:v>
                </c:pt>
                <c:pt idx="8">
                  <c:v>Paraguay</c:v>
                </c:pt>
                <c:pt idx="9">
                  <c:v>Costa Rica</c:v>
                </c:pt>
                <c:pt idx="10">
                  <c:v>Uruguay</c:v>
                </c:pt>
                <c:pt idx="11">
                  <c:v>Panama</c:v>
                </c:pt>
                <c:pt idx="12">
                  <c:v>Puerto Rico</c:v>
                </c:pt>
              </c:strCache>
            </c:strRef>
          </c:cat>
          <c:val>
            <c:numRef>
              <c:f>Analysis!$G$162:$G$174</c:f>
              <c:numCache>
                <c:formatCode>0%</c:formatCode>
                <c:ptCount val="13"/>
                <c:pt idx="3">
                  <c:v>0.14199999999999996</c:v>
                </c:pt>
                <c:pt idx="6">
                  <c:v>0.13999999999999996</c:v>
                </c:pt>
                <c:pt idx="8">
                  <c:v>8.0000000000000016E-2</c:v>
                </c:pt>
              </c:numCache>
            </c:numRef>
          </c:val>
          <c:extLst>
            <c:ext xmlns:c16="http://schemas.microsoft.com/office/drawing/2014/chart" uri="{C3380CC4-5D6E-409C-BE32-E72D297353CC}">
              <c16:uniqueId val="{00000003-9D58-4070-8EF7-D04833CE7C7B}"/>
            </c:ext>
          </c:extLst>
        </c:ser>
        <c:dLbls>
          <c:showLegendKey val="0"/>
          <c:showVal val="0"/>
          <c:showCatName val="0"/>
          <c:showSerName val="0"/>
          <c:showPercent val="0"/>
          <c:showBubbleSize val="0"/>
        </c:dLbls>
        <c:gapWidth val="30"/>
        <c:overlap val="100"/>
        <c:axId val="368708400"/>
        <c:axId val="368708816"/>
      </c:barChart>
      <c:catAx>
        <c:axId val="368708400"/>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368708816"/>
        <c:crosses val="autoZero"/>
        <c:auto val="1"/>
        <c:lblAlgn val="ctr"/>
        <c:lblOffset val="100"/>
        <c:noMultiLvlLbl val="0"/>
      </c:catAx>
      <c:valAx>
        <c:axId val="368708816"/>
        <c:scaling>
          <c:orientation val="minMax"/>
        </c:scaling>
        <c:delete val="1"/>
        <c:axPos val="l"/>
        <c:numFmt formatCode="0%" sourceLinked="1"/>
        <c:majorTickMark val="out"/>
        <c:minorTickMark val="none"/>
        <c:tickLblPos val="nextTo"/>
        <c:crossAx val="368708400"/>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Analysis!$C$184:$C$196</c:f>
              <c:strCache>
                <c:ptCount val="13"/>
                <c:pt idx="0">
                  <c:v>Ecuador</c:v>
                </c:pt>
                <c:pt idx="1">
                  <c:v>Guatemala</c:v>
                </c:pt>
                <c:pt idx="2">
                  <c:v>Nicaragua</c:v>
                </c:pt>
                <c:pt idx="3">
                  <c:v>Costa Rica</c:v>
                </c:pt>
                <c:pt idx="4">
                  <c:v>Honduras</c:v>
                </c:pt>
                <c:pt idx="5">
                  <c:v>El Salvador</c:v>
                </c:pt>
                <c:pt idx="6">
                  <c:v>Uruguay</c:v>
                </c:pt>
                <c:pt idx="7">
                  <c:v>Paraguay</c:v>
                </c:pt>
                <c:pt idx="8">
                  <c:v>Argentina</c:v>
                </c:pt>
                <c:pt idx="9">
                  <c:v>Chile</c:v>
                </c:pt>
                <c:pt idx="10">
                  <c:v>Brazil</c:v>
                </c:pt>
                <c:pt idx="11">
                  <c:v>Panama</c:v>
                </c:pt>
                <c:pt idx="12">
                  <c:v>Puerto Rico</c:v>
                </c:pt>
              </c:strCache>
            </c:strRef>
          </c:cat>
          <c:val>
            <c:numRef>
              <c:f>Analysis!$D$184:$D$196</c:f>
              <c:numCache>
                <c:formatCode>#,##0</c:formatCode>
                <c:ptCount val="13"/>
                <c:pt idx="0">
                  <c:v>764.5580226225386</c:v>
                </c:pt>
                <c:pt idx="1">
                  <c:v>775.3863134657837</c:v>
                </c:pt>
                <c:pt idx="2">
                  <c:v>807.1553228621292</c:v>
                </c:pt>
                <c:pt idx="3">
                  <c:v>816.99346405228755</c:v>
                </c:pt>
                <c:pt idx="4">
                  <c:v>821.16788321167894</c:v>
                </c:pt>
                <c:pt idx="5">
                  <c:v>888.39941262848754</c:v>
                </c:pt>
                <c:pt idx="6">
                  <c:v>951.08695652173901</c:v>
                </c:pt>
                <c:pt idx="7">
                  <c:v>967.16149347728299</c:v>
                </c:pt>
                <c:pt idx="8">
                  <c:v>974.29013099015538</c:v>
                </c:pt>
                <c:pt idx="9">
                  <c:v>1185.7313670785175</c:v>
                </c:pt>
                <c:pt idx="10">
                  <c:v>1241.8766135493636</c:v>
                </c:pt>
                <c:pt idx="11">
                  <c:v>1498.4709480122326</c:v>
                </c:pt>
                <c:pt idx="12">
                  <c:v>2272.7272727272725</c:v>
                </c:pt>
              </c:numCache>
            </c:numRef>
          </c:val>
          <c:extLst>
            <c:ext xmlns:c16="http://schemas.microsoft.com/office/drawing/2014/chart" uri="{C3380CC4-5D6E-409C-BE32-E72D297353CC}">
              <c16:uniqueId val="{00000000-1FC2-40B1-AE11-3488C2940631}"/>
            </c:ext>
          </c:extLst>
        </c:ser>
        <c:dLbls>
          <c:showLegendKey val="0"/>
          <c:showVal val="0"/>
          <c:showCatName val="0"/>
          <c:showSerName val="0"/>
          <c:showPercent val="0"/>
          <c:showBubbleSize val="0"/>
        </c:dLbls>
        <c:gapWidth val="30"/>
        <c:overlap val="-27"/>
        <c:axId val="2016088607"/>
        <c:axId val="2016089439"/>
      </c:barChart>
      <c:catAx>
        <c:axId val="2016088607"/>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crossAx val="2016089439"/>
        <c:crosses val="autoZero"/>
        <c:auto val="1"/>
        <c:lblAlgn val="ctr"/>
        <c:lblOffset val="100"/>
        <c:noMultiLvlLbl val="0"/>
      </c:catAx>
      <c:valAx>
        <c:axId val="2016089439"/>
        <c:scaling>
          <c:orientation val="minMax"/>
        </c:scaling>
        <c:delete val="1"/>
        <c:axPos val="l"/>
        <c:numFmt formatCode="#,##0" sourceLinked="1"/>
        <c:majorTickMark val="out"/>
        <c:minorTickMark val="none"/>
        <c:tickLblPos val="nextTo"/>
        <c:crossAx val="2016088607"/>
        <c:crosses val="autoZero"/>
        <c:crossBetween val="between"/>
      </c:valAx>
      <c:spPr>
        <a:noFill/>
        <a:ln w="25400">
          <a:noFill/>
        </a:ln>
        <a:effectLst/>
      </c:spPr>
    </c:plotArea>
    <c:plotVisOnly val="1"/>
    <c:dispBlanksAs val="gap"/>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Roboto" panose="02000000000000000000" pitchFamily="2" charset="0"/>
          <a:ea typeface="Roboto" panose="02000000000000000000" pitchFamily="2" charset="0"/>
          <a:cs typeface="Helvetica Neue"/>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71270436587409"/>
          <c:y val="5.7298785248833792E-2"/>
          <c:w val="0.86386213138716506"/>
          <c:h val="0.65387839742741993"/>
        </c:manualLayout>
      </c:layout>
      <c:barChart>
        <c:barDir val="col"/>
        <c:grouping val="stacked"/>
        <c:varyColors val="0"/>
        <c:ser>
          <c:idx val="0"/>
          <c:order val="0"/>
          <c:spPr>
            <a:no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Analysis!$C$223:$C$236</c:f>
              <c:strCache>
                <c:ptCount val="14"/>
                <c:pt idx="0">
                  <c:v>2019</c:v>
                </c:pt>
                <c:pt idx="1">
                  <c:v>2020</c:v>
                </c:pt>
                <c:pt idx="2">
                  <c:v>2021</c:v>
                </c:pt>
                <c:pt idx="3">
                  <c:v>TIM decomm.</c:v>
                </c:pt>
                <c:pt idx="4">
                  <c:v>Organic</c:v>
                </c:pt>
                <c:pt idx="5">
                  <c:v>2022</c:v>
                </c:pt>
                <c:pt idx="6">
                  <c:v>TIM decomm.</c:v>
                </c:pt>
                <c:pt idx="7">
                  <c:v>Vivo/Claro decomm.</c:v>
                </c:pt>
                <c:pt idx="8">
                  <c:v>Organic</c:v>
                </c:pt>
                <c:pt idx="9">
                  <c:v>2023</c:v>
                </c:pt>
                <c:pt idx="10">
                  <c:v>TIM decomm.</c:v>
                </c:pt>
                <c:pt idx="11">
                  <c:v>Vivo/Claro decomm.</c:v>
                </c:pt>
                <c:pt idx="12">
                  <c:v>Organic</c:v>
                </c:pt>
                <c:pt idx="13">
                  <c:v>2024</c:v>
                </c:pt>
              </c:strCache>
            </c:strRef>
          </c:cat>
          <c:val>
            <c:numRef>
              <c:f>Analysis!$E$223:$E$236</c:f>
              <c:numCache>
                <c:formatCode>0.0</c:formatCode>
                <c:ptCount val="14"/>
                <c:pt idx="3">
                  <c:v>95.586999999999989</c:v>
                </c:pt>
                <c:pt idx="4">
                  <c:v>95.586999999999989</c:v>
                </c:pt>
                <c:pt idx="6">
                  <c:v>99.389172726485356</c:v>
                </c:pt>
                <c:pt idx="7">
                  <c:v>98.389172726485356</c:v>
                </c:pt>
                <c:pt idx="8">
                  <c:v>98.389172726485356</c:v>
                </c:pt>
                <c:pt idx="10">
                  <c:v>100.65267338780747</c:v>
                </c:pt>
                <c:pt idx="11">
                  <c:v>99.652673387807468</c:v>
                </c:pt>
                <c:pt idx="12">
                  <c:v>99.652673387807468</c:v>
                </c:pt>
              </c:numCache>
            </c:numRef>
          </c:val>
          <c:extLst>
            <c:ext xmlns:c16="http://schemas.microsoft.com/office/drawing/2014/chart" uri="{C3380CC4-5D6E-409C-BE32-E72D297353CC}">
              <c16:uniqueId val="{00000000-2641-494C-945F-FDB1CC54C2D2}"/>
            </c:ext>
          </c:extLst>
        </c:ser>
        <c:ser>
          <c:idx val="1"/>
          <c:order val="1"/>
          <c:spPr>
            <a:solidFill>
              <a:srgbClr val="799098"/>
            </a:solidFill>
            <a:ln>
              <a:noFill/>
            </a:ln>
            <a:effectLst/>
            <a:extLst>
              <a:ext uri="{91240B29-F687-4F45-9708-019B960494DF}">
                <a14:hiddenLine xmlns:a14="http://schemas.microsoft.com/office/drawing/2010/main">
                  <a:noFill/>
                </a14:hiddenLine>
              </a:ext>
            </a:extLst>
          </c:spPr>
          <c:invertIfNegative val="0"/>
          <c:dPt>
            <c:idx val="3"/>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2641-494C-945F-FDB1CC54C2D2}"/>
              </c:ext>
            </c:extLst>
          </c:dPt>
          <c:dPt>
            <c:idx val="4"/>
            <c:invertIfNegative val="0"/>
            <c:bubble3D val="0"/>
            <c:spPr>
              <a:solidFill>
                <a:schemeClr val="tx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2641-494C-945F-FDB1CC54C2D2}"/>
              </c:ext>
            </c:extLst>
          </c:dPt>
          <c:dPt>
            <c:idx val="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2641-494C-945F-FDB1CC54C2D2}"/>
              </c:ext>
            </c:extLst>
          </c:dPt>
          <c:dPt>
            <c:idx val="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2641-494C-945F-FDB1CC54C2D2}"/>
              </c:ext>
            </c:extLst>
          </c:dPt>
          <c:dPt>
            <c:idx val="8"/>
            <c:invertIfNegative val="0"/>
            <c:bubble3D val="0"/>
            <c:spPr>
              <a:solidFill>
                <a:schemeClr val="tx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8-2641-494C-945F-FDB1CC54C2D2}"/>
              </c:ext>
            </c:extLst>
          </c:dPt>
          <c:dPt>
            <c:idx val="10"/>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2641-494C-945F-FDB1CC54C2D2}"/>
              </c:ext>
            </c:extLst>
          </c:dPt>
          <c:dPt>
            <c:idx val="11"/>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2641-494C-945F-FDB1CC54C2D2}"/>
              </c:ext>
            </c:extLst>
          </c:dPt>
          <c:dPt>
            <c:idx val="12"/>
            <c:invertIfNegative val="0"/>
            <c:bubble3D val="0"/>
            <c:spPr>
              <a:solidFill>
                <a:schemeClr val="tx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2641-494C-945F-FDB1CC54C2D2}"/>
              </c:ext>
            </c:extLst>
          </c:dPt>
          <c:dLbls>
            <c:dLbl>
              <c:idx val="3"/>
              <c:layout>
                <c:manualLayout>
                  <c:x val="0"/>
                  <c:y val="3.22305667024690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41-494C-945F-FDB1CC54C2D2}"/>
                </c:ext>
              </c:extLst>
            </c:dLbl>
            <c:dLbl>
              <c:idx val="4"/>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Helvetica Neue"/>
                      <a:ea typeface="Helvetica Neue"/>
                      <a:cs typeface="Helvetica Neue"/>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7-2641-494C-945F-FDB1CC54C2D2}"/>
                </c:ext>
              </c:extLst>
            </c:dLbl>
            <c:dLbl>
              <c:idx val="8"/>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Helvetica Neue"/>
                      <a:ea typeface="Helvetica Neue"/>
                      <a:cs typeface="Helvetica Neue"/>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8-2641-494C-945F-FDB1CC54C2D2}"/>
                </c:ext>
              </c:extLst>
            </c:dLbl>
            <c:dLbl>
              <c:idx val="12"/>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Helvetica Neue"/>
                      <a:ea typeface="Helvetica Neue"/>
                      <a:cs typeface="Helvetica Neue"/>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9-2641-494C-945F-FDB1CC54C2D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Analysis!$C$223:$C$236</c:f>
              <c:strCache>
                <c:ptCount val="14"/>
                <c:pt idx="0">
                  <c:v>2019</c:v>
                </c:pt>
                <c:pt idx="1">
                  <c:v>2020</c:v>
                </c:pt>
                <c:pt idx="2">
                  <c:v>2021</c:v>
                </c:pt>
                <c:pt idx="3">
                  <c:v>TIM decomm.</c:v>
                </c:pt>
                <c:pt idx="4">
                  <c:v>Organic</c:v>
                </c:pt>
                <c:pt idx="5">
                  <c:v>2022</c:v>
                </c:pt>
                <c:pt idx="6">
                  <c:v>TIM decomm.</c:v>
                </c:pt>
                <c:pt idx="7">
                  <c:v>Vivo/Claro decomm.</c:v>
                </c:pt>
                <c:pt idx="8">
                  <c:v>Organic</c:v>
                </c:pt>
                <c:pt idx="9">
                  <c:v>2023</c:v>
                </c:pt>
                <c:pt idx="10">
                  <c:v>TIM decomm.</c:v>
                </c:pt>
                <c:pt idx="11">
                  <c:v>Vivo/Claro decomm.</c:v>
                </c:pt>
                <c:pt idx="12">
                  <c:v>Organic</c:v>
                </c:pt>
                <c:pt idx="13">
                  <c:v>2024</c:v>
                </c:pt>
              </c:strCache>
            </c:strRef>
          </c:cat>
          <c:val>
            <c:numRef>
              <c:f>Analysis!$F$223:$F$236</c:f>
              <c:numCache>
                <c:formatCode>0.0</c:formatCode>
                <c:ptCount val="14"/>
                <c:pt idx="0">
                  <c:v>97.296000000000006</c:v>
                </c:pt>
                <c:pt idx="1">
                  <c:v>102.462</c:v>
                </c:pt>
                <c:pt idx="2">
                  <c:v>95.986999999999995</c:v>
                </c:pt>
                <c:pt idx="3" formatCode="General">
                  <c:v>0.4</c:v>
                </c:pt>
                <c:pt idx="4">
                  <c:v>5.8021727264853666</c:v>
                </c:pt>
                <c:pt idx="5">
                  <c:v>101.38917272648536</c:v>
                </c:pt>
                <c:pt idx="6" formatCode="General">
                  <c:v>2</c:v>
                </c:pt>
                <c:pt idx="7" formatCode="General">
                  <c:v>1</c:v>
                </c:pt>
                <c:pt idx="8">
                  <c:v>4.2635006613221123</c:v>
                </c:pt>
                <c:pt idx="9">
                  <c:v>102.65267338780747</c:v>
                </c:pt>
                <c:pt idx="10" formatCode="General">
                  <c:v>2</c:v>
                </c:pt>
                <c:pt idx="11" formatCode="General">
                  <c:v>1</c:v>
                </c:pt>
                <c:pt idx="12">
                  <c:v>7.9544358608459333</c:v>
                </c:pt>
                <c:pt idx="13">
                  <c:v>107.6071092486534</c:v>
                </c:pt>
              </c:numCache>
            </c:numRef>
          </c:val>
          <c:extLst>
            <c:ext xmlns:c16="http://schemas.microsoft.com/office/drawing/2014/chart" uri="{C3380CC4-5D6E-409C-BE32-E72D297353CC}">
              <c16:uniqueId val="{00000001-2641-494C-945F-FDB1CC54C2D2}"/>
            </c:ext>
          </c:extLst>
        </c:ser>
        <c:dLbls>
          <c:showLegendKey val="0"/>
          <c:showVal val="0"/>
          <c:showCatName val="0"/>
          <c:showSerName val="0"/>
          <c:showPercent val="0"/>
          <c:showBubbleSize val="0"/>
        </c:dLbls>
        <c:gapWidth val="30"/>
        <c:overlap val="100"/>
        <c:axId val="1401900736"/>
        <c:axId val="1401901152"/>
      </c:barChart>
      <c:catAx>
        <c:axId val="1401900736"/>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401901152"/>
        <c:crosses val="autoZero"/>
        <c:auto val="1"/>
        <c:lblAlgn val="ctr"/>
        <c:lblOffset val="100"/>
        <c:noMultiLvlLbl val="0"/>
      </c:catAx>
      <c:valAx>
        <c:axId val="1401901152"/>
        <c:scaling>
          <c:orientation val="minMax"/>
          <c:min val="90"/>
        </c:scaling>
        <c:delete val="0"/>
        <c:axPos val="l"/>
        <c:numFmt formatCode="0" sourceLinked="0"/>
        <c:majorTickMark val="out"/>
        <c:minorTickMark val="none"/>
        <c:tickLblPos val="nextTo"/>
        <c:spPr>
          <a:noFill/>
          <a:ln>
            <a:solidFill>
              <a:srgbClr val="B3B3B3"/>
            </a:solidFill>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401900736"/>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Towers</c:v>
          </c:tx>
          <c:spPr>
            <a:solidFill>
              <a:srgbClr val="263238"/>
            </a:solidFill>
            <a:ln>
              <a:noFill/>
            </a:ln>
            <a:effectLst/>
            <a:extLst>
              <a:ext uri="{91240B29-F687-4F45-9708-019B960494DF}">
                <a14:hiddenLine xmlns:a14="http://schemas.microsoft.com/office/drawing/2010/main">
                  <a:noFill/>
                </a14:hiddenLine>
              </a:ext>
            </a:extLst>
          </c:spPr>
          <c:invertIfNegative val="0"/>
          <c:dPt>
            <c:idx val="5"/>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E65A-46BB-AB4E-F3708BE26ADA}"/>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Analysis!$J$89:$J$101</c:f>
              <c:strCache>
                <c:ptCount val="13"/>
                <c:pt idx="0">
                  <c:v>Tower Bersama</c:v>
                </c:pt>
                <c:pt idx="1">
                  <c:v>Telesites</c:v>
                </c:pt>
                <c:pt idx="2">
                  <c:v>Inwit</c:v>
                </c:pt>
                <c:pt idx="3">
                  <c:v>Mitratel</c:v>
                </c:pt>
                <c:pt idx="4">
                  <c:v>Sarana Menara</c:v>
                </c:pt>
                <c:pt idx="5">
                  <c:v>Sitios</c:v>
                </c:pt>
                <c:pt idx="6">
                  <c:v>IHS</c:v>
                </c:pt>
                <c:pt idx="7">
                  <c:v>SBA </c:v>
                </c:pt>
                <c:pt idx="8">
                  <c:v>Crown Castle</c:v>
                </c:pt>
                <c:pt idx="9">
                  <c:v>Vantage Towers</c:v>
                </c:pt>
                <c:pt idx="10">
                  <c:v>Cellnex</c:v>
                </c:pt>
                <c:pt idx="11">
                  <c:v>American Tower</c:v>
                </c:pt>
                <c:pt idx="12">
                  <c:v>Indus Tower</c:v>
                </c:pt>
              </c:strCache>
            </c:strRef>
          </c:cat>
          <c:val>
            <c:numRef>
              <c:f>Analysis!$K$89:$K$101</c:f>
              <c:numCache>
                <c:formatCode>#,##0.0</c:formatCode>
                <c:ptCount val="13"/>
                <c:pt idx="0">
                  <c:v>20.577999999999999</c:v>
                </c:pt>
                <c:pt idx="1">
                  <c:v>20.942</c:v>
                </c:pt>
                <c:pt idx="2">
                  <c:v>23.3</c:v>
                </c:pt>
                <c:pt idx="3">
                  <c:v>28.206</c:v>
                </c:pt>
                <c:pt idx="4">
                  <c:v>28.698</c:v>
                </c:pt>
                <c:pt idx="5">
                  <c:v>29.09</c:v>
                </c:pt>
                <c:pt idx="6">
                  <c:v>31.042999999999999</c:v>
                </c:pt>
                <c:pt idx="7">
                  <c:v>33.477564951384636</c:v>
                </c:pt>
                <c:pt idx="8">
                  <c:v>40.183999999999997</c:v>
                </c:pt>
                <c:pt idx="9">
                  <c:v>46.844999999999999</c:v>
                </c:pt>
                <c:pt idx="10">
                  <c:v>107.284575</c:v>
                </c:pt>
                <c:pt idx="11">
                  <c:v>185.22961256603995</c:v>
                </c:pt>
                <c:pt idx="12">
                  <c:v>185.447</c:v>
                </c:pt>
              </c:numCache>
            </c:numRef>
          </c:val>
          <c:extLst>
            <c:ext xmlns:c16="http://schemas.microsoft.com/office/drawing/2014/chart" uri="{C3380CC4-5D6E-409C-BE32-E72D297353CC}">
              <c16:uniqueId val="{00000000-E65A-46BB-AB4E-F3708BE26ADA}"/>
            </c:ext>
          </c:extLst>
        </c:ser>
        <c:ser>
          <c:idx val="1"/>
          <c:order val="1"/>
          <c:tx>
            <c:v>Sitios acquisition expectations</c:v>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Analysis!$J$89:$J$101</c:f>
              <c:strCache>
                <c:ptCount val="13"/>
                <c:pt idx="0">
                  <c:v>Tower Bersama</c:v>
                </c:pt>
                <c:pt idx="1">
                  <c:v>Telesites</c:v>
                </c:pt>
                <c:pt idx="2">
                  <c:v>Inwit</c:v>
                </c:pt>
                <c:pt idx="3">
                  <c:v>Mitratel</c:v>
                </c:pt>
                <c:pt idx="4">
                  <c:v>Sarana Menara</c:v>
                </c:pt>
                <c:pt idx="5">
                  <c:v>Sitios</c:v>
                </c:pt>
                <c:pt idx="6">
                  <c:v>IHS</c:v>
                </c:pt>
                <c:pt idx="7">
                  <c:v>SBA </c:v>
                </c:pt>
                <c:pt idx="8">
                  <c:v>Crown Castle</c:v>
                </c:pt>
                <c:pt idx="9">
                  <c:v>Vantage Towers</c:v>
                </c:pt>
                <c:pt idx="10">
                  <c:v>Cellnex</c:v>
                </c:pt>
                <c:pt idx="11">
                  <c:v>American Tower</c:v>
                </c:pt>
                <c:pt idx="12">
                  <c:v>Indus Tower</c:v>
                </c:pt>
              </c:strCache>
            </c:strRef>
          </c:cat>
          <c:val>
            <c:numRef>
              <c:f>Analysis!$L$89:$L$101</c:f>
              <c:numCache>
                <c:formatCode>#,##0.0</c:formatCode>
                <c:ptCount val="13"/>
                <c:pt idx="5">
                  <c:v>5.0570000000000004</c:v>
                </c:pt>
              </c:numCache>
            </c:numRef>
          </c:val>
          <c:extLst>
            <c:ext xmlns:c16="http://schemas.microsoft.com/office/drawing/2014/chart" uri="{C3380CC4-5D6E-409C-BE32-E72D297353CC}">
              <c16:uniqueId val="{00000001-E65A-46BB-AB4E-F3708BE26ADA}"/>
            </c:ext>
          </c:extLst>
        </c:ser>
        <c:dLbls>
          <c:showLegendKey val="0"/>
          <c:showVal val="0"/>
          <c:showCatName val="0"/>
          <c:showSerName val="0"/>
          <c:showPercent val="0"/>
          <c:showBubbleSize val="0"/>
        </c:dLbls>
        <c:gapWidth val="30"/>
        <c:overlap val="100"/>
        <c:axId val="1221712912"/>
        <c:axId val="1221716240"/>
      </c:barChart>
      <c:catAx>
        <c:axId val="1221712912"/>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221716240"/>
        <c:crosses val="autoZero"/>
        <c:auto val="1"/>
        <c:lblAlgn val="ctr"/>
        <c:lblOffset val="100"/>
        <c:noMultiLvlLbl val="0"/>
      </c:catAx>
      <c:valAx>
        <c:axId val="1221716240"/>
        <c:scaling>
          <c:orientation val="minMax"/>
        </c:scaling>
        <c:delete val="1"/>
        <c:axPos val="l"/>
        <c:numFmt formatCode="#,##0.0" sourceLinked="1"/>
        <c:majorTickMark val="out"/>
        <c:minorTickMark val="none"/>
        <c:tickLblPos val="nextTo"/>
        <c:crossAx val="1221712912"/>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263238"/>
              </a:solidFill>
              <a:ln w="25400">
                <a:noFill/>
              </a:ln>
              <a:effectLst/>
            </c:spPr>
            <c:extLst>
              <c:ext xmlns:c16="http://schemas.microsoft.com/office/drawing/2014/chart" uri="{C3380CC4-5D6E-409C-BE32-E72D297353CC}">
                <c16:uniqueId val="{00000001-8D1A-4EF5-B85E-C2F3106AF278}"/>
              </c:ext>
            </c:extLst>
          </c:dPt>
          <c:dPt>
            <c:idx val="1"/>
            <c:bubble3D val="0"/>
            <c:spPr>
              <a:solidFill>
                <a:srgbClr val="799098"/>
              </a:solidFill>
              <a:ln w="25400">
                <a:noFill/>
              </a:ln>
              <a:effectLst/>
            </c:spPr>
            <c:extLst>
              <c:ext xmlns:c16="http://schemas.microsoft.com/office/drawing/2014/chart" uri="{C3380CC4-5D6E-409C-BE32-E72D297353CC}">
                <c16:uniqueId val="{00000002-8D1A-4EF5-B85E-C2F3106AF278}"/>
              </c:ext>
            </c:extLst>
          </c:dPt>
          <c:dPt>
            <c:idx val="2"/>
            <c:bubble3D val="0"/>
            <c:spPr>
              <a:solidFill>
                <a:srgbClr val="F9663E"/>
              </a:solidFill>
              <a:ln w="25400">
                <a:noFill/>
              </a:ln>
              <a:effectLst/>
            </c:spPr>
            <c:extLst>
              <c:ext xmlns:c16="http://schemas.microsoft.com/office/drawing/2014/chart" uri="{C3380CC4-5D6E-409C-BE32-E72D297353CC}">
                <c16:uniqueId val="{00000003-8D1A-4EF5-B85E-C2F3106AF278}"/>
              </c:ext>
            </c:extLst>
          </c:dPt>
          <c:dPt>
            <c:idx val="3"/>
            <c:bubble3D val="0"/>
            <c:spPr>
              <a:solidFill>
                <a:srgbClr val="C7FE02"/>
              </a:solidFill>
              <a:ln w="25400">
                <a:noFill/>
              </a:ln>
              <a:effectLst/>
            </c:spPr>
            <c:extLst>
              <c:ext xmlns:c16="http://schemas.microsoft.com/office/drawing/2014/chart" uri="{C3380CC4-5D6E-409C-BE32-E72D297353CC}">
                <c16:uniqueId val="{00000004-8D1A-4EF5-B85E-C2F3106AF278}"/>
              </c:ext>
            </c:extLst>
          </c:dPt>
          <c:dPt>
            <c:idx val="4"/>
            <c:bubble3D val="0"/>
            <c:spPr>
              <a:solidFill>
                <a:srgbClr val="00C994"/>
              </a:solidFill>
              <a:ln w="25400">
                <a:noFill/>
              </a:ln>
              <a:effectLst/>
            </c:spPr>
            <c:extLst>
              <c:ext xmlns:c16="http://schemas.microsoft.com/office/drawing/2014/chart" uri="{C3380CC4-5D6E-409C-BE32-E72D297353CC}">
                <c16:uniqueId val="{00000005-8D1A-4EF5-B85E-C2F3106AF278}"/>
              </c:ext>
            </c:extLst>
          </c:dPt>
          <c:dPt>
            <c:idx val="5"/>
            <c:bubble3D val="0"/>
            <c:spPr>
              <a:solidFill>
                <a:srgbClr val="465A63"/>
              </a:solidFill>
              <a:ln w="25400">
                <a:noFill/>
              </a:ln>
              <a:effectLst/>
            </c:spPr>
            <c:extLst>
              <c:ext xmlns:c16="http://schemas.microsoft.com/office/drawing/2014/chart" uri="{C3380CC4-5D6E-409C-BE32-E72D297353CC}">
                <c16:uniqueId val="{00000006-8D1A-4EF5-B85E-C2F3106AF278}"/>
              </c:ext>
            </c:extLst>
          </c:dPt>
          <c:dPt>
            <c:idx val="6"/>
            <c:bubble3D val="0"/>
            <c:spPr>
              <a:solidFill>
                <a:srgbClr val="B0BEC5"/>
              </a:solidFill>
              <a:ln w="25400">
                <a:noFill/>
              </a:ln>
              <a:effectLst/>
            </c:spPr>
            <c:extLst>
              <c:ext xmlns:c16="http://schemas.microsoft.com/office/drawing/2014/chart" uri="{C3380CC4-5D6E-409C-BE32-E72D297353CC}">
                <c16:uniqueId val="{00000007-8D1A-4EF5-B85E-C2F3106AF278}"/>
              </c:ext>
            </c:extLst>
          </c:dPt>
          <c:dPt>
            <c:idx val="7"/>
            <c:bubble3D val="0"/>
            <c:spPr>
              <a:solidFill>
                <a:srgbClr val="F19375"/>
              </a:solidFill>
              <a:ln w="25400">
                <a:noFill/>
              </a:ln>
              <a:effectLst/>
            </c:spPr>
            <c:extLst>
              <c:ext xmlns:c16="http://schemas.microsoft.com/office/drawing/2014/chart" uri="{C3380CC4-5D6E-409C-BE32-E72D297353CC}">
                <c16:uniqueId val="{00000008-8D1A-4EF5-B85E-C2F3106AF278}"/>
              </c:ext>
            </c:extLst>
          </c:dPt>
          <c:dPt>
            <c:idx val="8"/>
            <c:bubble3D val="0"/>
            <c:spPr>
              <a:solidFill>
                <a:srgbClr val="E3F982"/>
              </a:solidFill>
              <a:ln w="25400">
                <a:noFill/>
              </a:ln>
              <a:effectLst/>
            </c:spPr>
            <c:extLst>
              <c:ext xmlns:c16="http://schemas.microsoft.com/office/drawing/2014/chart" uri="{C3380CC4-5D6E-409C-BE32-E72D297353CC}">
                <c16:uniqueId val="{00000009-8D1A-4EF5-B85E-C2F3106AF278}"/>
              </c:ext>
            </c:extLst>
          </c:dPt>
          <c:dPt>
            <c:idx val="9"/>
            <c:bubble3D val="0"/>
            <c:spPr>
              <a:solidFill>
                <a:srgbClr val="80D4C1"/>
              </a:solidFill>
              <a:ln w="25400">
                <a:noFill/>
              </a:ln>
              <a:effectLst/>
            </c:spPr>
            <c:extLst>
              <c:ext xmlns:c16="http://schemas.microsoft.com/office/drawing/2014/chart" uri="{C3380CC4-5D6E-409C-BE32-E72D297353CC}">
                <c16:uniqueId val="{0000000A-8D1A-4EF5-B85E-C2F3106AF278}"/>
              </c:ext>
            </c:extLst>
          </c:dPt>
          <c:dPt>
            <c:idx val="10"/>
            <c:bubble3D val="0"/>
            <c:spPr>
              <a:solidFill>
                <a:srgbClr val="263238"/>
              </a:solidFill>
              <a:ln w="25400">
                <a:noFill/>
              </a:ln>
              <a:effectLst/>
            </c:spPr>
            <c:extLst>
              <c:ext xmlns:c16="http://schemas.microsoft.com/office/drawing/2014/chart" uri="{C3380CC4-5D6E-409C-BE32-E72D297353CC}">
                <c16:uniqueId val="{0000000B-8D1A-4EF5-B85E-C2F3106AF278}"/>
              </c:ext>
            </c:extLst>
          </c:dPt>
          <c:dPt>
            <c:idx val="11"/>
            <c:bubble3D val="0"/>
            <c:spPr>
              <a:solidFill>
                <a:srgbClr val="799098"/>
              </a:solidFill>
              <a:ln w="25400">
                <a:noFill/>
              </a:ln>
              <a:effectLst/>
            </c:spPr>
            <c:extLst>
              <c:ext xmlns:c16="http://schemas.microsoft.com/office/drawing/2014/chart" uri="{C3380CC4-5D6E-409C-BE32-E72D297353CC}">
                <c16:uniqueId val="{0000000C-8D1A-4EF5-B85E-C2F3106AF278}"/>
              </c:ext>
            </c:extLst>
          </c:dPt>
          <c:dPt>
            <c:idx val="12"/>
            <c:bubble3D val="0"/>
            <c:spPr>
              <a:solidFill>
                <a:srgbClr val="F9663E"/>
              </a:solidFill>
              <a:ln w="25400">
                <a:noFill/>
              </a:ln>
              <a:effectLst/>
            </c:spPr>
            <c:extLst>
              <c:ext xmlns:c16="http://schemas.microsoft.com/office/drawing/2014/chart" uri="{C3380CC4-5D6E-409C-BE32-E72D297353CC}">
                <c16:uniqueId val="{0000000D-8D1A-4EF5-B85E-C2F3106AF278}"/>
              </c:ext>
            </c:extLst>
          </c:dPt>
          <c:dLbls>
            <c:spPr>
              <a:noFill/>
              <a:ln>
                <a:noFill/>
              </a:ln>
              <a:effectLst/>
            </c:spPr>
            <c:txPr>
              <a:bodyPr rot="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Master!$AB$229:$AB$241</c:f>
              <c:strCache>
                <c:ptCount val="13"/>
                <c:pt idx="0">
                  <c:v>Brazil</c:v>
                </c:pt>
                <c:pt idx="1">
                  <c:v>Argentina</c:v>
                </c:pt>
                <c:pt idx="2">
                  <c:v>Guatemala</c:v>
                </c:pt>
                <c:pt idx="3">
                  <c:v>Chile</c:v>
                </c:pt>
                <c:pt idx="4">
                  <c:v>Ecuador</c:v>
                </c:pt>
                <c:pt idx="5">
                  <c:v>Honduras</c:v>
                </c:pt>
                <c:pt idx="6">
                  <c:v>El Salvador</c:v>
                </c:pt>
                <c:pt idx="7">
                  <c:v>Nicaragua</c:v>
                </c:pt>
                <c:pt idx="8">
                  <c:v>Paraguay</c:v>
                </c:pt>
                <c:pt idx="9">
                  <c:v>Costa Rica</c:v>
                </c:pt>
                <c:pt idx="10">
                  <c:v>Uruguay</c:v>
                </c:pt>
                <c:pt idx="11">
                  <c:v>Panama</c:v>
                </c:pt>
                <c:pt idx="12">
                  <c:v>Puerto Rico</c:v>
                </c:pt>
              </c:strCache>
            </c:strRef>
          </c:cat>
          <c:val>
            <c:numRef>
              <c:f>Master!$AC$229:$AC$241</c:f>
              <c:numCache>
                <c:formatCode>0%</c:formatCode>
                <c:ptCount val="13"/>
                <c:pt idx="0">
                  <c:v>0.45365853658536587</c:v>
                </c:pt>
                <c:pt idx="1">
                  <c:v>0.12981029810298103</c:v>
                </c:pt>
                <c:pt idx="2">
                  <c:v>7.6151761517615171E-2</c:v>
                </c:pt>
                <c:pt idx="3">
                  <c:v>9.674796747967479E-2</c:v>
                </c:pt>
                <c:pt idx="4">
                  <c:v>5.9349593495934959E-2</c:v>
                </c:pt>
                <c:pt idx="5">
                  <c:v>3.6585365853658534E-2</c:v>
                </c:pt>
                <c:pt idx="6">
                  <c:v>3.2791327913279135E-2</c:v>
                </c:pt>
                <c:pt idx="7">
                  <c:v>2.0054200542005421E-2</c:v>
                </c:pt>
                <c:pt idx="8">
                  <c:v>2.3306233062330622E-2</c:v>
                </c:pt>
                <c:pt idx="9">
                  <c:v>1.4905149051490514E-2</c:v>
                </c:pt>
                <c:pt idx="10">
                  <c:v>1.7073170731707318E-2</c:v>
                </c:pt>
                <c:pt idx="11">
                  <c:v>2.6558265582655824E-2</c:v>
                </c:pt>
                <c:pt idx="12">
                  <c:v>1.3008130081300813E-2</c:v>
                </c:pt>
              </c:numCache>
            </c:numRef>
          </c:val>
          <c:extLst>
            <c:ext xmlns:c16="http://schemas.microsoft.com/office/drawing/2014/chart" uri="{C3380CC4-5D6E-409C-BE32-E72D297353CC}">
              <c16:uniqueId val="{00000000-8D1A-4EF5-B85E-C2F3106AF278}"/>
            </c:ext>
          </c:extLst>
        </c:ser>
        <c:dLbls>
          <c:showLegendKey val="0"/>
          <c:showVal val="0"/>
          <c:showCatName val="0"/>
          <c:showSerName val="0"/>
          <c:showPercent val="0"/>
          <c:showBubbleSize val="0"/>
          <c:showLeaderLines val="1"/>
        </c:dLbls>
        <c:firstSliceAng val="0"/>
      </c:pieChart>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legend>
    <c:plotVisOnly val="1"/>
    <c:dispBlanksAs val="gap"/>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Roboto" panose="02000000000000000000" pitchFamily="2" charset="0"/>
          <a:ea typeface="Roboto" panose="02000000000000000000" pitchFamily="2" charset="0"/>
          <a:cs typeface="Helvetica Neue"/>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Analysis!$C$276</c:f>
              <c:strCache>
                <c:ptCount val="1"/>
                <c:pt idx="0">
                  <c:v>Sitios</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Analysis!$D$269:$H$269</c:f>
              <c:numCache>
                <c:formatCode>General</c:formatCode>
                <c:ptCount val="5"/>
                <c:pt idx="0">
                  <c:v>2022</c:v>
                </c:pt>
                <c:pt idx="1">
                  <c:v>2023</c:v>
                </c:pt>
                <c:pt idx="2">
                  <c:v>2024</c:v>
                </c:pt>
                <c:pt idx="3">
                  <c:v>2025</c:v>
                </c:pt>
                <c:pt idx="4">
                  <c:v>2026</c:v>
                </c:pt>
              </c:numCache>
            </c:numRef>
          </c:cat>
          <c:val>
            <c:numRef>
              <c:f>Analysis!$D$276:$H$276</c:f>
              <c:numCache>
                <c:formatCode>#,##0</c:formatCode>
                <c:ptCount val="5"/>
                <c:pt idx="0">
                  <c:v>18230.407510532703</c:v>
                </c:pt>
                <c:pt idx="1">
                  <c:v>19415.383998717327</c:v>
                </c:pt>
                <c:pt idx="2">
                  <c:v>20289.076278659606</c:v>
                </c:pt>
                <c:pt idx="3">
                  <c:v>20897.748567019396</c:v>
                </c:pt>
                <c:pt idx="4">
                  <c:v>21524.681024029978</c:v>
                </c:pt>
              </c:numCache>
            </c:numRef>
          </c:val>
          <c:extLst>
            <c:ext xmlns:c16="http://schemas.microsoft.com/office/drawing/2014/chart" uri="{C3380CC4-5D6E-409C-BE32-E72D297353CC}">
              <c16:uniqueId val="{00000000-6263-424C-9620-062A48955F0B}"/>
            </c:ext>
          </c:extLst>
        </c:ser>
        <c:ser>
          <c:idx val="1"/>
          <c:order val="1"/>
          <c:tx>
            <c:strRef>
              <c:f>Analysis!$C$277</c:f>
              <c:strCache>
                <c:ptCount val="1"/>
                <c:pt idx="0">
                  <c:v>Telesites</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Analysis!$D$269:$H$269</c:f>
              <c:numCache>
                <c:formatCode>General</c:formatCode>
                <c:ptCount val="5"/>
                <c:pt idx="0">
                  <c:v>2022</c:v>
                </c:pt>
                <c:pt idx="1">
                  <c:v>2023</c:v>
                </c:pt>
                <c:pt idx="2">
                  <c:v>2024</c:v>
                </c:pt>
                <c:pt idx="3">
                  <c:v>2025</c:v>
                </c:pt>
                <c:pt idx="4">
                  <c:v>2026</c:v>
                </c:pt>
              </c:numCache>
            </c:numRef>
          </c:cat>
          <c:val>
            <c:numRef>
              <c:f>Analysis!$D$277:$H$277</c:f>
              <c:numCache>
                <c:formatCode>#,##0</c:formatCode>
                <c:ptCount val="5"/>
                <c:pt idx="0">
                  <c:v>24572.774208951661</c:v>
                </c:pt>
                <c:pt idx="1">
                  <c:v>25924.276790444001</c:v>
                </c:pt>
                <c:pt idx="2">
                  <c:v>26831.626478109538</c:v>
                </c:pt>
                <c:pt idx="3">
                  <c:v>27636.575272452825</c:v>
                </c:pt>
                <c:pt idx="4">
                  <c:v>28465.672530626409</c:v>
                </c:pt>
              </c:numCache>
            </c:numRef>
          </c:val>
          <c:extLst>
            <c:ext xmlns:c16="http://schemas.microsoft.com/office/drawing/2014/chart" uri="{C3380CC4-5D6E-409C-BE32-E72D297353CC}">
              <c16:uniqueId val="{00000001-6263-424C-9620-062A48955F0B}"/>
            </c:ext>
          </c:extLst>
        </c:ser>
        <c:dLbls>
          <c:showLegendKey val="0"/>
          <c:showVal val="0"/>
          <c:showCatName val="0"/>
          <c:showSerName val="0"/>
          <c:showPercent val="0"/>
          <c:showBubbleSize val="0"/>
        </c:dLbls>
        <c:gapWidth val="30"/>
        <c:overlap val="-27"/>
        <c:axId val="1511589279"/>
        <c:axId val="1511584287"/>
      </c:barChart>
      <c:catAx>
        <c:axId val="1511589279"/>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511584287"/>
        <c:crosses val="autoZero"/>
        <c:auto val="1"/>
        <c:lblAlgn val="ctr"/>
        <c:lblOffset val="100"/>
        <c:noMultiLvlLbl val="0"/>
      </c:catAx>
      <c:valAx>
        <c:axId val="1511584287"/>
        <c:scaling>
          <c:orientation val="minMax"/>
        </c:scaling>
        <c:delete val="1"/>
        <c:axPos val="l"/>
        <c:numFmt formatCode="#,##0" sourceLinked="1"/>
        <c:majorTickMark val="out"/>
        <c:minorTickMark val="none"/>
        <c:tickLblPos val="nextTo"/>
        <c:crossAx val="1511589279"/>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Analysis!$C$306</c:f>
              <c:strCache>
                <c:ptCount val="1"/>
                <c:pt idx="0">
                  <c:v>Sitios</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Analysis!$D$269:$H$269</c:f>
              <c:numCache>
                <c:formatCode>General</c:formatCode>
                <c:ptCount val="5"/>
                <c:pt idx="0">
                  <c:v>2022</c:v>
                </c:pt>
                <c:pt idx="1">
                  <c:v>2023</c:v>
                </c:pt>
                <c:pt idx="2">
                  <c:v>2024</c:v>
                </c:pt>
                <c:pt idx="3">
                  <c:v>2025</c:v>
                </c:pt>
                <c:pt idx="4">
                  <c:v>2026</c:v>
                </c:pt>
              </c:numCache>
            </c:numRef>
          </c:cat>
          <c:val>
            <c:numRef>
              <c:f>Analysis!$D$306:$H$306</c:f>
              <c:numCache>
                <c:formatCode>#,##0</c:formatCode>
                <c:ptCount val="5"/>
                <c:pt idx="0">
                  <c:v>12937.57547924002</c:v>
                </c:pt>
                <c:pt idx="1">
                  <c:v>9351.1498289987212</c:v>
                </c:pt>
                <c:pt idx="2">
                  <c:v>7795.0990237805281</c:v>
                </c:pt>
                <c:pt idx="3">
                  <c:v>10446.581973257964</c:v>
                </c:pt>
                <c:pt idx="4">
                  <c:v>11327.635501049934</c:v>
                </c:pt>
              </c:numCache>
            </c:numRef>
          </c:val>
          <c:extLst>
            <c:ext xmlns:c16="http://schemas.microsoft.com/office/drawing/2014/chart" uri="{C3380CC4-5D6E-409C-BE32-E72D297353CC}">
              <c16:uniqueId val="{00000000-91E4-4402-A0FA-8611331C6C7A}"/>
            </c:ext>
          </c:extLst>
        </c:ser>
        <c:ser>
          <c:idx val="1"/>
          <c:order val="1"/>
          <c:tx>
            <c:strRef>
              <c:f>Analysis!$C$307</c:f>
              <c:strCache>
                <c:ptCount val="1"/>
                <c:pt idx="0">
                  <c:v>Telesites</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Analysis!$D$269:$H$269</c:f>
              <c:numCache>
                <c:formatCode>General</c:formatCode>
                <c:ptCount val="5"/>
                <c:pt idx="0">
                  <c:v>2022</c:v>
                </c:pt>
                <c:pt idx="1">
                  <c:v>2023</c:v>
                </c:pt>
                <c:pt idx="2">
                  <c:v>2024</c:v>
                </c:pt>
                <c:pt idx="3">
                  <c:v>2025</c:v>
                </c:pt>
                <c:pt idx="4">
                  <c:v>2026</c:v>
                </c:pt>
              </c:numCache>
            </c:numRef>
          </c:cat>
          <c:val>
            <c:numRef>
              <c:f>Analysis!$D$307:$H$307</c:f>
              <c:numCache>
                <c:formatCode>#,##0</c:formatCode>
                <c:ptCount val="5"/>
                <c:pt idx="0">
                  <c:v>16874.32245503597</c:v>
                </c:pt>
                <c:pt idx="1">
                  <c:v>18874.69657681754</c:v>
                </c:pt>
                <c:pt idx="2">
                  <c:v>19371.092222637984</c:v>
                </c:pt>
                <c:pt idx="3">
                  <c:v>20225.483558728578</c:v>
                </c:pt>
                <c:pt idx="4">
                  <c:v>21572.738158511762</c:v>
                </c:pt>
              </c:numCache>
            </c:numRef>
          </c:val>
          <c:extLst>
            <c:ext xmlns:c16="http://schemas.microsoft.com/office/drawing/2014/chart" uri="{C3380CC4-5D6E-409C-BE32-E72D297353CC}">
              <c16:uniqueId val="{00000001-91E4-4402-A0FA-8611331C6C7A}"/>
            </c:ext>
          </c:extLst>
        </c:ser>
        <c:dLbls>
          <c:showLegendKey val="0"/>
          <c:showVal val="0"/>
          <c:showCatName val="0"/>
          <c:showSerName val="0"/>
          <c:showPercent val="0"/>
          <c:showBubbleSize val="0"/>
        </c:dLbls>
        <c:gapWidth val="30"/>
        <c:overlap val="-27"/>
        <c:axId val="1511589279"/>
        <c:axId val="1511584287"/>
      </c:barChart>
      <c:catAx>
        <c:axId val="1511589279"/>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511584287"/>
        <c:crosses val="autoZero"/>
        <c:auto val="1"/>
        <c:lblAlgn val="ctr"/>
        <c:lblOffset val="100"/>
        <c:noMultiLvlLbl val="0"/>
      </c:catAx>
      <c:valAx>
        <c:axId val="1511584287"/>
        <c:scaling>
          <c:orientation val="minMax"/>
        </c:scaling>
        <c:delete val="1"/>
        <c:axPos val="l"/>
        <c:numFmt formatCode="#,##0" sourceLinked="1"/>
        <c:majorTickMark val="out"/>
        <c:minorTickMark val="none"/>
        <c:tickLblPos val="nextTo"/>
        <c:crossAx val="1511589279"/>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spPr>
            <a:ln w="19050">
              <a:noFill/>
            </a:ln>
            <a:effectLst/>
          </c:spPr>
          <c:marker>
            <c:symbol val="diamond"/>
            <c:size val="5"/>
            <c:spPr>
              <a:solidFill>
                <a:srgbClr val="263238"/>
              </a:solidFill>
              <a:ln>
                <a:solidFill>
                  <a:srgbClr val="263238"/>
                </a:solidFill>
                <a:prstDash val="solid"/>
              </a:ln>
            </c:spPr>
          </c:marker>
          <c:dLbls>
            <c:dLbl>
              <c:idx val="0"/>
              <c:tx>
                <c:strRef>
                  <c:f>Analysis!$K$45</c:f>
                  <c:strCache>
                    <c:ptCount val="1"/>
                    <c:pt idx="0">
                      <c:v>Bharti Infratel</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{BD4E6949-36A5-4876-903A-4996335D5919}</c15:txfldGUID>
                      <c15:f>Analysis!$K$45</c15:f>
                      <c15:dlblFieldTableCache>
                        <c:ptCount val="1"/>
                        <c:pt idx="0">
                          <c:v>Bharti Infratel</c:v>
                        </c:pt>
                      </c15:dlblFieldTableCache>
                    </c15:dlblFTEntry>
                  </c15:dlblFieldTable>
                  <c15:showDataLabelsRange val="0"/>
                </c:ext>
                <c:ext xmlns:c16="http://schemas.microsoft.com/office/drawing/2014/chart" uri="{C3380CC4-5D6E-409C-BE32-E72D297353CC}">
                  <c16:uniqueId val="{00000003-4351-44E0-8A81-5E41AA133E41}"/>
                </c:ext>
              </c:extLst>
            </c:dLbl>
            <c:dLbl>
              <c:idx val="1"/>
              <c:tx>
                <c:strRef>
                  <c:f>Analysis!$K$46</c:f>
                  <c:strCache>
                    <c:ptCount val="1"/>
                    <c:pt idx="0">
                      <c:v>Crown Castle</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{ABB7DF0B-B56F-4CFC-9430-402B3A30B99B}</c15:txfldGUID>
                      <c15:f>Analysis!$K$46</c15:f>
                      <c15:dlblFieldTableCache>
                        <c:ptCount val="1"/>
                        <c:pt idx="0">
                          <c:v>Crown Castle</c:v>
                        </c:pt>
                      </c15:dlblFieldTableCache>
                    </c15:dlblFTEntry>
                  </c15:dlblFieldTable>
                  <c15:showDataLabelsRange val="0"/>
                </c:ext>
                <c:ext xmlns:c16="http://schemas.microsoft.com/office/drawing/2014/chart" uri="{C3380CC4-5D6E-409C-BE32-E72D297353CC}">
                  <c16:uniqueId val="{00000004-4351-44E0-8A81-5E41AA133E41}"/>
                </c:ext>
              </c:extLst>
            </c:dLbl>
            <c:dLbl>
              <c:idx val="2"/>
              <c:tx>
                <c:strRef>
                  <c:f>Analysis!$K$47</c:f>
                  <c:strCache>
                    <c:ptCount val="1"/>
                    <c:pt idx="0">
                      <c:v>China Tower</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{B21272B4-CF29-4294-96BE-AA889F38AA8E}</c15:txfldGUID>
                      <c15:f>Analysis!$K$47</c15:f>
                      <c15:dlblFieldTableCache>
                        <c:ptCount val="1"/>
                        <c:pt idx="0">
                          <c:v>China Tower</c:v>
                        </c:pt>
                      </c15:dlblFieldTableCache>
                    </c15:dlblFTEntry>
                  </c15:dlblFieldTable>
                  <c15:showDataLabelsRange val="0"/>
                </c:ext>
                <c:ext xmlns:c16="http://schemas.microsoft.com/office/drawing/2014/chart" uri="{C3380CC4-5D6E-409C-BE32-E72D297353CC}">
                  <c16:uniqueId val="{00000005-4351-44E0-8A81-5E41AA133E41}"/>
                </c:ext>
              </c:extLst>
            </c:dLbl>
            <c:dLbl>
              <c:idx val="3"/>
              <c:tx>
                <c:strRef>
                  <c:f>Analysis!$K$48</c:f>
                  <c:strCache>
                    <c:ptCount val="1"/>
                    <c:pt idx="0">
                      <c:v>SBA</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{CCFFC541-4E3B-4ACF-B7E6-D699FB58CE3B}</c15:txfldGUID>
                      <c15:f>Analysis!$K$48</c15:f>
                      <c15:dlblFieldTableCache>
                        <c:ptCount val="1"/>
                        <c:pt idx="0">
                          <c:v>SBA</c:v>
                        </c:pt>
                      </c15:dlblFieldTableCache>
                    </c15:dlblFTEntry>
                  </c15:dlblFieldTable>
                  <c15:showDataLabelsRange val="0"/>
                </c:ext>
                <c:ext xmlns:c16="http://schemas.microsoft.com/office/drawing/2014/chart" uri="{C3380CC4-5D6E-409C-BE32-E72D297353CC}">
                  <c16:uniqueId val="{00000006-4351-44E0-8A81-5E41AA133E41}"/>
                </c:ext>
              </c:extLst>
            </c:dLbl>
            <c:dLbl>
              <c:idx val="4"/>
              <c:tx>
                <c:strRef>
                  <c:f>Analysis!$K$49</c:f>
                  <c:strCache>
                    <c:ptCount val="1"/>
                    <c:pt idx="0">
                      <c:v>Telesites</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{93BBC520-F5DD-42EB-BB02-2257CF8FF45F}</c15:txfldGUID>
                      <c15:f>Analysis!$K$49</c15:f>
                      <c15:dlblFieldTableCache>
                        <c:ptCount val="1"/>
                        <c:pt idx="0">
                          <c:v>Telesites</c:v>
                        </c:pt>
                      </c15:dlblFieldTableCache>
                    </c15:dlblFTEntry>
                  </c15:dlblFieldTable>
                  <c15:showDataLabelsRange val="0"/>
                </c:ext>
                <c:ext xmlns:c16="http://schemas.microsoft.com/office/drawing/2014/chart" uri="{C3380CC4-5D6E-409C-BE32-E72D297353CC}">
                  <c16:uniqueId val="{00000007-4351-44E0-8A81-5E41AA133E41}"/>
                </c:ext>
              </c:extLst>
            </c:dLbl>
            <c:dLbl>
              <c:idx val="5"/>
              <c:tx>
                <c:strRef>
                  <c:f>Analysis!$K$50</c:f>
                  <c:strCache>
                    <c:ptCount val="1"/>
                    <c:pt idx="0">
                      <c:v>Sitios</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{C256E827-D06D-4D03-A1A1-67CCD9AF5CE5}</c15:txfldGUID>
                      <c15:f>Analysis!$K$50</c15:f>
                      <c15:dlblFieldTableCache>
                        <c:ptCount val="1"/>
                        <c:pt idx="0">
                          <c:v>Sitios</c:v>
                        </c:pt>
                      </c15:dlblFieldTableCache>
                    </c15:dlblFTEntry>
                  </c15:dlblFieldTable>
                  <c15:showDataLabelsRange val="0"/>
                </c:ext>
                <c:ext xmlns:c16="http://schemas.microsoft.com/office/drawing/2014/chart" uri="{C3380CC4-5D6E-409C-BE32-E72D297353CC}">
                  <c16:uniqueId val="{00000008-4351-44E0-8A81-5E41AA133E41}"/>
                </c:ext>
              </c:extLst>
            </c:dLbl>
            <c:dLbl>
              <c:idx val="6"/>
              <c:tx>
                <c:strRef>
                  <c:f>Analysis!$K$51</c:f>
                  <c:strCache>
                    <c:ptCount val="1"/>
                    <c:pt idx="0">
                      <c:v>AMT</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{5CDFA02E-2245-480B-B5CA-0CD3481D6E68}</c15:txfldGUID>
                      <c15:f>Analysis!$K$51</c15:f>
                      <c15:dlblFieldTableCache>
                        <c:ptCount val="1"/>
                        <c:pt idx="0">
                          <c:v>AMT</c:v>
                        </c:pt>
                      </c15:dlblFieldTableCache>
                    </c15:dlblFTEntry>
                  </c15:dlblFieldTable>
                  <c15:showDataLabelsRange val="0"/>
                </c:ext>
                <c:ext xmlns:c16="http://schemas.microsoft.com/office/drawing/2014/chart" uri="{C3380CC4-5D6E-409C-BE32-E72D297353CC}">
                  <c16:uniqueId val="{00000009-4351-44E0-8A81-5E41AA133E41}"/>
                </c:ext>
              </c:extLst>
            </c:dLbl>
            <c:dLbl>
              <c:idx val="7"/>
              <c:tx>
                <c:strRef>
                  <c:f>Analysis!$K$52</c:f>
                  <c:strCache>
                    <c:ptCount val="1"/>
                    <c:pt idx="0">
                      <c:v>Vantage</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{1EB3350C-6C08-4377-9138-2DFC6A3144CA}</c15:txfldGUID>
                      <c15:f>Analysis!$K$52</c15:f>
                      <c15:dlblFieldTableCache>
                        <c:ptCount val="1"/>
                        <c:pt idx="0">
                          <c:v>Vantage</c:v>
                        </c:pt>
                      </c15:dlblFieldTableCache>
                    </c15:dlblFTEntry>
                  </c15:dlblFieldTable>
                  <c15:showDataLabelsRange val="0"/>
                </c:ext>
                <c:ext xmlns:c16="http://schemas.microsoft.com/office/drawing/2014/chart" uri="{C3380CC4-5D6E-409C-BE32-E72D297353CC}">
                  <c16:uniqueId val="{0000000A-4351-44E0-8A81-5E41AA133E41}"/>
                </c:ext>
              </c:extLst>
            </c:dLbl>
            <c:dLbl>
              <c:idx val="8"/>
              <c:tx>
                <c:strRef>
                  <c:f>Analysis!$K$53</c:f>
                  <c:strCache>
                    <c:ptCount val="1"/>
                    <c:pt idx="0">
                      <c:v>Tower Bersama</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{A564E105-8346-4DD5-A2DF-AACFD4F4043B}</c15:txfldGUID>
                      <c15:f>Analysis!$K$53</c15:f>
                      <c15:dlblFieldTableCache>
                        <c:ptCount val="1"/>
                        <c:pt idx="0">
                          <c:v>Tower Bersama</c:v>
                        </c:pt>
                      </c15:dlblFieldTableCache>
                    </c15:dlblFTEntry>
                  </c15:dlblFieldTable>
                  <c15:showDataLabelsRange val="0"/>
                </c:ext>
                <c:ext xmlns:c16="http://schemas.microsoft.com/office/drawing/2014/chart" uri="{C3380CC4-5D6E-409C-BE32-E72D297353CC}">
                  <c16:uniqueId val="{0000000B-4351-44E0-8A81-5E41AA133E41}"/>
                </c:ext>
              </c:extLst>
            </c:dLbl>
            <c:dLbl>
              <c:idx val="9"/>
              <c:tx>
                <c:strRef>
                  <c:f>Analysis!$K$54</c:f>
                  <c:strCache>
                    <c:ptCount val="1"/>
                    <c:pt idx="0">
                      <c:v>Inwit</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{1A79ECC2-7E20-443B-9902-3D6331FEC31D}</c15:txfldGUID>
                      <c15:f>Analysis!$K$54</c15:f>
                      <c15:dlblFieldTableCache>
                        <c:ptCount val="1"/>
                        <c:pt idx="0">
                          <c:v>Inwit</c:v>
                        </c:pt>
                      </c15:dlblFieldTableCache>
                    </c15:dlblFTEntry>
                  </c15:dlblFieldTable>
                  <c15:showDataLabelsRange val="0"/>
                </c:ext>
                <c:ext xmlns:c16="http://schemas.microsoft.com/office/drawing/2014/chart" uri="{C3380CC4-5D6E-409C-BE32-E72D297353CC}">
                  <c16:uniqueId val="{0000000C-4351-44E0-8A81-5E41AA133E41}"/>
                </c:ext>
              </c:extLst>
            </c:dLbl>
            <c:dLbl>
              <c:idx val="10"/>
              <c:tx>
                <c:strRef>
                  <c:f>Analysis!$K$55</c:f>
                  <c:strCache>
                    <c:ptCount val="1"/>
                    <c:pt idx="0">
                      <c:v>Mitratel</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{9DFA00E8-C996-4150-AAFF-2EF6B657CA12}</c15:txfldGUID>
                      <c15:f>Analysis!$K$55</c15:f>
                      <c15:dlblFieldTableCache>
                        <c:ptCount val="1"/>
                        <c:pt idx="0">
                          <c:v>Mitratel</c:v>
                        </c:pt>
                      </c15:dlblFieldTableCache>
                    </c15:dlblFTEntry>
                  </c15:dlblFieldTable>
                  <c15:showDataLabelsRange val="0"/>
                </c:ext>
                <c:ext xmlns:c16="http://schemas.microsoft.com/office/drawing/2014/chart" uri="{C3380CC4-5D6E-409C-BE32-E72D297353CC}">
                  <c16:uniqueId val="{0000000D-4351-44E0-8A81-5E41AA133E41}"/>
                </c:ext>
              </c:extLst>
            </c:dLbl>
            <c:dLbl>
              <c:idx val="11"/>
              <c:tx>
                <c:strRef>
                  <c:f>Analysis!$K$56</c:f>
                  <c:strCache>
                    <c:ptCount val="1"/>
                    <c:pt idx="0">
                      <c:v>Cellnex</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{F7F8AC95-3A11-47C2-87BB-8629CEC072CE}</c15:txfldGUID>
                      <c15:f>Analysis!$K$56</c15:f>
                      <c15:dlblFieldTableCache>
                        <c:ptCount val="1"/>
                        <c:pt idx="0">
                          <c:v>Cellnex</c:v>
                        </c:pt>
                      </c15:dlblFieldTableCache>
                    </c15:dlblFTEntry>
                  </c15:dlblFieldTable>
                  <c15:showDataLabelsRange val="0"/>
                </c:ext>
                <c:ext xmlns:c16="http://schemas.microsoft.com/office/drawing/2014/chart" uri="{C3380CC4-5D6E-409C-BE32-E72D297353CC}">
                  <c16:uniqueId val="{0000000E-4351-44E0-8A81-5E41AA133E41}"/>
                </c:ext>
              </c:extLst>
            </c:dLbl>
            <c:dLbl>
              <c:idx val="12"/>
              <c:tx>
                <c:strRef>
                  <c:f>Analysis!$K$57</c:f>
                  <c:strCache>
                    <c:ptCount val="1"/>
                    <c:pt idx="0">
                      <c:v>IHS</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{46A1ED06-DCB4-458E-882C-002D1C17726F}</c15:txfldGUID>
                      <c15:f>Analysis!$K$57</c15:f>
                      <c15:dlblFieldTableCache>
                        <c:ptCount val="1"/>
                        <c:pt idx="0">
                          <c:v>IHS</c:v>
                        </c:pt>
                      </c15:dlblFieldTableCache>
                    </c15:dlblFTEntry>
                  </c15:dlblFieldTable>
                  <c15:showDataLabelsRange val="0"/>
                </c:ext>
                <c:ext xmlns:c16="http://schemas.microsoft.com/office/drawing/2014/chart" uri="{C3380CC4-5D6E-409C-BE32-E72D297353CC}">
                  <c16:uniqueId val="{0000000F-4351-44E0-8A81-5E41AA133E41}"/>
                </c:ext>
              </c:extLst>
            </c:dLbl>
            <c:dLbl>
              <c:idx val="13"/>
              <c:layout>
                <c:manualLayout>
                  <c:x val="-1.5127192634673783E-2"/>
                  <c:y val="2.7995798425842548E-2"/>
                </c:manualLayout>
              </c:layout>
              <c:tx>
                <c:strRef>
                  <c:f>Analysis!$K$58</c:f>
                  <c:strCache>
                    <c:ptCount val="1"/>
                    <c:pt idx="0">
                      <c:v>Sarana Menara</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{4B485CC0-8FC7-488E-9543-CF1C90D60574}</c15:txfldGUID>
                      <c15:f>Analysis!$K$58</c15:f>
                      <c15:dlblFieldTableCache>
                        <c:ptCount val="1"/>
                        <c:pt idx="0">
                          <c:v>Sarana Menara</c:v>
                        </c:pt>
                      </c15:dlblFieldTableCache>
                    </c15:dlblFTEntry>
                  </c15:dlblFieldTable>
                  <c15:showDataLabelsRange val="0"/>
                </c:ext>
                <c:ext xmlns:c16="http://schemas.microsoft.com/office/drawing/2014/chart" uri="{C3380CC4-5D6E-409C-BE32-E72D297353CC}">
                  <c16:uniqueId val="{00000010-4351-44E0-8A81-5E41AA133E4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Analysis!$L$45:$L$58</c:f>
              <c:numCache>
                <c:formatCode>0.0%</c:formatCode>
                <c:ptCount val="14"/>
                <c:pt idx="0">
                  <c:v>3.7999999999999999E-2</c:v>
                </c:pt>
                <c:pt idx="1">
                  <c:v>3.3000000000000002E-2</c:v>
                </c:pt>
                <c:pt idx="2">
                  <c:v>3.5000000000000003E-2</c:v>
                </c:pt>
                <c:pt idx="3">
                  <c:v>5.8999999999999997E-2</c:v>
                </c:pt>
                <c:pt idx="4">
                  <c:v>7.0999999999999994E-2</c:v>
                </c:pt>
                <c:pt idx="5">
                  <c:v>0.10542961820982311</c:v>
                </c:pt>
                <c:pt idx="6">
                  <c:v>8.3000000000000004E-2</c:v>
                </c:pt>
                <c:pt idx="7">
                  <c:v>0.104</c:v>
                </c:pt>
                <c:pt idx="8">
                  <c:v>0.1</c:v>
                </c:pt>
                <c:pt idx="9">
                  <c:v>9.4E-2</c:v>
                </c:pt>
                <c:pt idx="10">
                  <c:v>0.153</c:v>
                </c:pt>
                <c:pt idx="11">
                  <c:v>9.6000000000000002E-2</c:v>
                </c:pt>
                <c:pt idx="12">
                  <c:v>0.104</c:v>
                </c:pt>
                <c:pt idx="13">
                  <c:v>7.5999999999999998E-2</c:v>
                </c:pt>
              </c:numCache>
            </c:numRef>
          </c:xVal>
          <c:yVal>
            <c:numRef>
              <c:f>Analysis!$N$45:$N$58</c:f>
              <c:numCache>
                <c:formatCode>General</c:formatCode>
                <c:ptCount val="14"/>
                <c:pt idx="0">
                  <c:v>4.5348149105327069</c:v>
                </c:pt>
                <c:pt idx="1">
                  <c:v>18.738423584903622</c:v>
                </c:pt>
                <c:pt idx="2">
                  <c:v>3.07005679874556</c:v>
                </c:pt>
                <c:pt idx="3">
                  <c:v>23.342936494603151</c:v>
                </c:pt>
                <c:pt idx="4" formatCode="0.0">
                  <c:v>12</c:v>
                </c:pt>
                <c:pt idx="5" formatCode="0.0">
                  <c:v>11.230994907710452</c:v>
                </c:pt>
                <c:pt idx="6">
                  <c:v>18.3</c:v>
                </c:pt>
                <c:pt idx="7">
                  <c:v>15.2</c:v>
                </c:pt>
                <c:pt idx="8">
                  <c:v>13.2</c:v>
                </c:pt>
                <c:pt idx="9">
                  <c:v>15.3</c:v>
                </c:pt>
                <c:pt idx="10">
                  <c:v>11.4</c:v>
                </c:pt>
                <c:pt idx="11">
                  <c:v>17.899999999999999</c:v>
                </c:pt>
                <c:pt idx="12">
                  <c:v>3.9</c:v>
                </c:pt>
                <c:pt idx="13">
                  <c:v>10.1</c:v>
                </c:pt>
              </c:numCache>
            </c:numRef>
          </c:yVal>
          <c:smooth val="0"/>
          <c:extLst>
            <c:ext xmlns:c16="http://schemas.microsoft.com/office/drawing/2014/chart" uri="{C3380CC4-5D6E-409C-BE32-E72D297353CC}">
              <c16:uniqueId val="{00000002-4351-44E0-8A81-5E41AA133E41}"/>
            </c:ext>
          </c:extLst>
        </c:ser>
        <c:dLbls>
          <c:showLegendKey val="0"/>
          <c:showVal val="0"/>
          <c:showCatName val="0"/>
          <c:showSerName val="0"/>
          <c:showPercent val="0"/>
          <c:showBubbleSize val="0"/>
        </c:dLbls>
        <c:axId val="390358719"/>
        <c:axId val="390357887"/>
      </c:scatterChart>
      <c:valAx>
        <c:axId val="390358719"/>
        <c:scaling>
          <c:orientation val="minMax"/>
        </c:scaling>
        <c:delete val="0"/>
        <c:axPos val="b"/>
        <c:numFmt formatCode="0.0%" sourceLinked="1"/>
        <c:majorTickMark val="out"/>
        <c:minorTickMark val="none"/>
        <c:tickLblPos val="nextTo"/>
        <c:spPr>
          <a:ln>
            <a:solidFill>
              <a:srgbClr val="B3B3B3"/>
            </a:solidFill>
          </a:ln>
        </c:spPr>
        <c:crossAx val="390357887"/>
        <c:crosses val="autoZero"/>
        <c:crossBetween val="midCat"/>
      </c:valAx>
      <c:valAx>
        <c:axId val="390357887"/>
        <c:scaling>
          <c:orientation val="minMax"/>
        </c:scaling>
        <c:delete val="0"/>
        <c:axPos val="l"/>
        <c:numFmt formatCode="General" sourceLinked="1"/>
        <c:majorTickMark val="out"/>
        <c:minorTickMark val="none"/>
        <c:tickLblPos val="nextTo"/>
        <c:spPr>
          <a:ln>
            <a:solidFill>
              <a:srgbClr val="B3B3B3"/>
            </a:solidFill>
          </a:ln>
        </c:spPr>
        <c:crossAx val="390358719"/>
        <c:crosses val="autoZero"/>
        <c:crossBetween val="midCat"/>
      </c:valAx>
      <c:spPr>
        <a:noFill/>
        <a:ln w="25400">
          <a:noFill/>
        </a:ln>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ln w="25400">
      <a:noFill/>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spPr>
            <a:ln w="19050">
              <a:noFill/>
            </a:ln>
          </c:spPr>
          <c:dLbls>
            <c:dLbl>
              <c:idx val="0"/>
              <c:tx>
                <c:strRef>
                  <c:f>Analysis!$AJ$62</c:f>
                  <c:strCache>
                    <c:ptCount val="1"/>
                    <c:pt idx="0">
                      <c:v>Indus Towers</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{B14FABDB-10CE-4B65-B7A0-E4DC532BFD7C}</c15:txfldGUID>
                      <c15:f>Analysis!$AJ$62</c15:f>
                      <c15:dlblFieldTableCache>
                        <c:ptCount val="1"/>
                        <c:pt idx="0">
                          <c:v>Indus Towers</c:v>
                        </c:pt>
                      </c15:dlblFieldTableCache>
                    </c15:dlblFTEntry>
                  </c15:dlblFieldTable>
                  <c15:showDataLabelsRange val="0"/>
                </c:ext>
                <c:ext xmlns:c16="http://schemas.microsoft.com/office/drawing/2014/chart" uri="{C3380CC4-5D6E-409C-BE32-E72D297353CC}">
                  <c16:uniqueId val="{00000001-6A01-4451-BAD1-FB21BD6ADA86}"/>
                </c:ext>
              </c:extLst>
            </c:dLbl>
            <c:dLbl>
              <c:idx val="1"/>
              <c:tx>
                <c:strRef>
                  <c:f>Analysis!$AJ$63</c:f>
                  <c:strCache>
                    <c:ptCount val="1"/>
                    <c:pt idx="0">
                      <c:v>China Tower</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{DF1FED9F-A979-4B1D-BA98-E692615E2BA9}</c15:txfldGUID>
                      <c15:f>Analysis!$AJ$63</c15:f>
                      <c15:dlblFieldTableCache>
                        <c:ptCount val="1"/>
                        <c:pt idx="0">
                          <c:v>China Tower</c:v>
                        </c:pt>
                      </c15:dlblFieldTableCache>
                    </c15:dlblFTEntry>
                  </c15:dlblFieldTable>
                  <c15:showDataLabelsRange val="0"/>
                </c:ext>
                <c:ext xmlns:c16="http://schemas.microsoft.com/office/drawing/2014/chart" uri="{C3380CC4-5D6E-409C-BE32-E72D297353CC}">
                  <c16:uniqueId val="{00000002-6A01-4451-BAD1-FB21BD6ADA86}"/>
                </c:ext>
              </c:extLst>
            </c:dLbl>
            <c:dLbl>
              <c:idx val="2"/>
              <c:tx>
                <c:strRef>
                  <c:f>Analysis!$AJ$64</c:f>
                  <c:strCache>
                    <c:ptCount val="1"/>
                    <c:pt idx="0">
                      <c:v>Opsimex</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{1DBF8029-111D-4C0D-B39A-181B3F917684}</c15:txfldGUID>
                      <c15:f>Analysis!$AJ$64</c15:f>
                      <c15:dlblFieldTableCache>
                        <c:ptCount val="1"/>
                        <c:pt idx="0">
                          <c:v>Opsimex</c:v>
                        </c:pt>
                      </c15:dlblFieldTableCache>
                    </c15:dlblFTEntry>
                  </c15:dlblFieldTable>
                  <c15:showDataLabelsRange val="0"/>
                </c:ext>
                <c:ext xmlns:c16="http://schemas.microsoft.com/office/drawing/2014/chart" uri="{C3380CC4-5D6E-409C-BE32-E72D297353CC}">
                  <c16:uniqueId val="{00000003-6A01-4451-BAD1-FB21BD6ADA86}"/>
                </c:ext>
              </c:extLst>
            </c:dLbl>
            <c:dLbl>
              <c:idx val="3"/>
              <c:tx>
                <c:strRef>
                  <c:f>Analysis!$AJ$65</c:f>
                  <c:strCache>
                    <c:ptCount val="1"/>
                    <c:pt idx="0">
                      <c:v>Sitios</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{8054029F-2B16-4BD3-AB73-8768BB76C6D6}</c15:txfldGUID>
                      <c15:f>Analysis!$AJ$65</c15:f>
                      <c15:dlblFieldTableCache>
                        <c:ptCount val="1"/>
                        <c:pt idx="0">
                          <c:v>Sitios</c:v>
                        </c:pt>
                      </c15:dlblFieldTableCache>
                    </c15:dlblFTEntry>
                  </c15:dlblFieldTable>
                  <c15:showDataLabelsRange val="0"/>
                </c:ext>
                <c:ext xmlns:c16="http://schemas.microsoft.com/office/drawing/2014/chart" uri="{C3380CC4-5D6E-409C-BE32-E72D297353CC}">
                  <c16:uniqueId val="{00000004-6A01-4451-BAD1-FB21BD6ADA86}"/>
                </c:ext>
              </c:extLst>
            </c:dLbl>
            <c:dLbl>
              <c:idx val="4"/>
              <c:tx>
                <c:strRef>
                  <c:f>Analysis!$AJ$66</c:f>
                  <c:strCache>
                    <c:ptCount val="1"/>
                    <c:pt idx="0">
                      <c:v>Tower Bersama</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{A0419DE1-9168-45C8-8034-361509F034B1}</c15:txfldGUID>
                      <c15:f>Analysis!$AJ$66</c15:f>
                      <c15:dlblFieldTableCache>
                        <c:ptCount val="1"/>
                        <c:pt idx="0">
                          <c:v>Tower Bersama</c:v>
                        </c:pt>
                      </c15:dlblFieldTableCache>
                    </c15:dlblFTEntry>
                  </c15:dlblFieldTable>
                  <c15:showDataLabelsRange val="0"/>
                </c:ext>
                <c:ext xmlns:c16="http://schemas.microsoft.com/office/drawing/2014/chart" uri="{C3380CC4-5D6E-409C-BE32-E72D297353CC}">
                  <c16:uniqueId val="{00000005-6A01-4451-BAD1-FB21BD6ADA86}"/>
                </c:ext>
              </c:extLst>
            </c:dLbl>
            <c:dLbl>
              <c:idx val="5"/>
              <c:tx>
                <c:strRef>
                  <c:f>Analysis!$AJ$67</c:f>
                  <c:strCache>
                    <c:ptCount val="1"/>
                    <c:pt idx="0">
                      <c:v>Sarana Menara</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{7B971D7C-704C-4D92-8D34-218D6C717272}</c15:txfldGUID>
                      <c15:f>Analysis!$AJ$67</c15:f>
                      <c15:dlblFieldTableCache>
                        <c:ptCount val="1"/>
                        <c:pt idx="0">
                          <c:v>Sarana Menara</c:v>
                        </c:pt>
                      </c15:dlblFieldTableCache>
                    </c15:dlblFTEntry>
                  </c15:dlblFieldTable>
                  <c15:showDataLabelsRange val="0"/>
                </c:ext>
                <c:ext xmlns:c16="http://schemas.microsoft.com/office/drawing/2014/chart" uri="{C3380CC4-5D6E-409C-BE32-E72D297353CC}">
                  <c16:uniqueId val="{00000006-6A01-4451-BAD1-FB21BD6ADA86}"/>
                </c:ext>
              </c:extLst>
            </c:dLbl>
            <c:dLbl>
              <c:idx val="6"/>
              <c:tx>
                <c:strRef>
                  <c:f>Analysis!$AJ$68</c:f>
                  <c:strCache>
                    <c:ptCount val="1"/>
                    <c:pt idx="0">
                      <c:v>Mitratel</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{024683B7-E123-4450-83FE-986B87F7F015}</c15:txfldGUID>
                      <c15:f>Analysis!$AJ$68</c15:f>
                      <c15:dlblFieldTableCache>
                        <c:ptCount val="1"/>
                        <c:pt idx="0">
                          <c:v>Mitratel</c:v>
                        </c:pt>
                      </c15:dlblFieldTableCache>
                    </c15:dlblFTEntry>
                  </c15:dlblFieldTable>
                  <c15:showDataLabelsRange val="0"/>
                </c:ext>
                <c:ext xmlns:c16="http://schemas.microsoft.com/office/drawing/2014/chart" uri="{C3380CC4-5D6E-409C-BE32-E72D297353CC}">
                  <c16:uniqueId val="{00000007-6A01-4451-BAD1-FB21BD6ADA86}"/>
                </c:ext>
              </c:extLst>
            </c:dLbl>
            <c:dLbl>
              <c:idx val="7"/>
              <c:tx>
                <c:strRef>
                  <c:f>Analysis!$AJ$69</c:f>
                  <c:strCache>
                    <c:ptCount val="1"/>
                    <c:pt idx="0">
                      <c:v>Inwit</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{020BF90A-9716-4791-967E-6445D582AC66}</c15:txfldGUID>
                      <c15:f>Analysis!$AJ$69</c15:f>
                      <c15:dlblFieldTableCache>
                        <c:ptCount val="1"/>
                        <c:pt idx="0">
                          <c:v>Inwit</c:v>
                        </c:pt>
                      </c15:dlblFieldTableCache>
                    </c15:dlblFTEntry>
                  </c15:dlblFieldTable>
                  <c15:showDataLabelsRange val="0"/>
                </c:ext>
                <c:ext xmlns:c16="http://schemas.microsoft.com/office/drawing/2014/chart" uri="{C3380CC4-5D6E-409C-BE32-E72D297353CC}">
                  <c16:uniqueId val="{00000008-6A01-4451-BAD1-FB21BD6ADA86}"/>
                </c:ext>
              </c:extLst>
            </c:dLbl>
            <c:dLbl>
              <c:idx val="8"/>
              <c:tx>
                <c:strRef>
                  <c:f>Analysis!$AJ$70</c:f>
                  <c:strCache>
                    <c:ptCount val="1"/>
                    <c:pt idx="0">
                      <c:v>Cellnex</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{6671B95B-8BA4-4648-8C1A-2DB300DFBEA8}</c15:txfldGUID>
                      <c15:f>Analysis!$AJ$70</c15:f>
                      <c15:dlblFieldTableCache>
                        <c:ptCount val="1"/>
                        <c:pt idx="0">
                          <c:v>Cellnex</c:v>
                        </c:pt>
                      </c15:dlblFieldTableCache>
                    </c15:dlblFTEntry>
                  </c15:dlblFieldTable>
                  <c15:showDataLabelsRange val="0"/>
                </c:ext>
                <c:ext xmlns:c16="http://schemas.microsoft.com/office/drawing/2014/chart" uri="{C3380CC4-5D6E-409C-BE32-E72D297353CC}">
                  <c16:uniqueId val="{00000009-6A01-4451-BAD1-FB21BD6ADA86}"/>
                </c:ext>
              </c:extLst>
            </c:dLbl>
            <c:dLbl>
              <c:idx val="9"/>
              <c:tx>
                <c:strRef>
                  <c:f>Analysis!$AJ$71</c:f>
                  <c:strCache>
                    <c:ptCount val="1"/>
                    <c:pt idx="0">
                      <c:v>Vantage</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{BE1779E8-95A5-40F5-A2A1-9739A995DDDE}</c15:txfldGUID>
                      <c15:f>Analysis!$AJ$71</c15:f>
                      <c15:dlblFieldTableCache>
                        <c:ptCount val="1"/>
                        <c:pt idx="0">
                          <c:v>Vantage</c:v>
                        </c:pt>
                      </c15:dlblFieldTableCache>
                    </c15:dlblFTEntry>
                  </c15:dlblFieldTable>
                  <c15:showDataLabelsRange val="0"/>
                </c:ext>
                <c:ext xmlns:c16="http://schemas.microsoft.com/office/drawing/2014/chart" uri="{C3380CC4-5D6E-409C-BE32-E72D297353CC}">
                  <c16:uniqueId val="{0000000A-6A01-4451-BAD1-FB21BD6ADA86}"/>
                </c:ext>
              </c:extLst>
            </c:dLbl>
            <c:dLbl>
              <c:idx val="10"/>
              <c:tx>
                <c:strRef>
                  <c:f>Analysis!$AJ$72</c:f>
                  <c:strCache>
                    <c:ptCount val="1"/>
                    <c:pt idx="0">
                      <c:v>IHS</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{89632BED-CE84-493C-919C-55A0EEC41722}</c15:txfldGUID>
                      <c15:f>Analysis!$AJ$72</c15:f>
                      <c15:dlblFieldTableCache>
                        <c:ptCount val="1"/>
                        <c:pt idx="0">
                          <c:v>IHS</c:v>
                        </c:pt>
                      </c15:dlblFieldTableCache>
                    </c15:dlblFTEntry>
                  </c15:dlblFieldTable>
                  <c15:showDataLabelsRange val="0"/>
                </c:ext>
                <c:ext xmlns:c16="http://schemas.microsoft.com/office/drawing/2014/chart" uri="{C3380CC4-5D6E-409C-BE32-E72D297353CC}">
                  <c16:uniqueId val="{0000000B-6A01-4451-BAD1-FB21BD6ADA8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Analysis!$AK$62:$AK$72</c:f>
              <c:numCache>
                <c:formatCode>0.0%</c:formatCode>
                <c:ptCount val="11"/>
                <c:pt idx="0">
                  <c:v>1.5375513337463786E-2</c:v>
                </c:pt>
                <c:pt idx="1">
                  <c:v>9.1740832733743449E-2</c:v>
                </c:pt>
                <c:pt idx="2">
                  <c:v>8.1778859670126991E-2</c:v>
                </c:pt>
                <c:pt idx="3">
                  <c:v>6.5879110308041389E-2</c:v>
                </c:pt>
                <c:pt idx="4">
                  <c:v>0.14932321912594748</c:v>
                </c:pt>
                <c:pt idx="5">
                  <c:v>6.4287532696867489E-2</c:v>
                </c:pt>
                <c:pt idx="6">
                  <c:v>0.10757253117803112</c:v>
                </c:pt>
                <c:pt idx="7">
                  <c:v>0.13</c:v>
                </c:pt>
                <c:pt idx="8">
                  <c:v>0.12</c:v>
                </c:pt>
                <c:pt idx="9">
                  <c:v>7.3999999999999996E-2</c:v>
                </c:pt>
                <c:pt idx="10">
                  <c:v>0.13723411681485276</c:v>
                </c:pt>
              </c:numCache>
            </c:numRef>
          </c:xVal>
          <c:yVal>
            <c:numRef>
              <c:f>Analysis!$AL$62:$AL$72</c:f>
              <c:numCache>
                <c:formatCode>0.0</c:formatCode>
                <c:ptCount val="11"/>
                <c:pt idx="0">
                  <c:v>3.6</c:v>
                </c:pt>
                <c:pt idx="1">
                  <c:v>3.5</c:v>
                </c:pt>
                <c:pt idx="2">
                  <c:v>11.6</c:v>
                </c:pt>
                <c:pt idx="3">
                  <c:v>11.230994907710452</c:v>
                </c:pt>
                <c:pt idx="4">
                  <c:v>11</c:v>
                </c:pt>
                <c:pt idx="5">
                  <c:v>9</c:v>
                </c:pt>
                <c:pt idx="6">
                  <c:v>10.8</c:v>
                </c:pt>
                <c:pt idx="7">
                  <c:v>21</c:v>
                </c:pt>
                <c:pt idx="8">
                  <c:v>22.8</c:v>
                </c:pt>
                <c:pt idx="9">
                  <c:v>22.2</c:v>
                </c:pt>
                <c:pt idx="10">
                  <c:v>4.3</c:v>
                </c:pt>
              </c:numCache>
            </c:numRef>
          </c:yVal>
          <c:smooth val="1"/>
          <c:extLst>
            <c:ext xmlns:c16="http://schemas.microsoft.com/office/drawing/2014/chart" uri="{C3380CC4-5D6E-409C-BE32-E72D297353CC}">
              <c16:uniqueId val="{00000000-6A01-4451-BAD1-FB21BD6ADA86}"/>
            </c:ext>
          </c:extLst>
        </c:ser>
        <c:dLbls>
          <c:showLegendKey val="0"/>
          <c:showVal val="0"/>
          <c:showCatName val="0"/>
          <c:showSerName val="0"/>
          <c:showPercent val="0"/>
          <c:showBubbleSize val="0"/>
        </c:dLbls>
        <c:axId val="634185327"/>
        <c:axId val="634187247"/>
      </c:scatterChart>
      <c:valAx>
        <c:axId val="634185327"/>
        <c:scaling>
          <c:orientation val="minMax"/>
        </c:scaling>
        <c:delete val="0"/>
        <c:axPos val="b"/>
        <c:numFmt formatCode="0.0%" sourceLinked="1"/>
        <c:majorTickMark val="out"/>
        <c:minorTickMark val="none"/>
        <c:tickLblPos val="nextTo"/>
        <c:crossAx val="634187247"/>
        <c:crosses val="autoZero"/>
        <c:crossBetween val="midCat"/>
      </c:valAx>
      <c:valAx>
        <c:axId val="634187247"/>
        <c:scaling>
          <c:orientation val="minMax"/>
        </c:scaling>
        <c:delete val="0"/>
        <c:axPos val="l"/>
        <c:majorGridlines/>
        <c:numFmt formatCode="0.0" sourceLinked="1"/>
        <c:majorTickMark val="out"/>
        <c:minorTickMark val="none"/>
        <c:tickLblPos val="nextTo"/>
        <c:crossAx val="634185327"/>
        <c:crosses val="autoZero"/>
        <c:crossBetween val="midCat"/>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scatterChart>
        <c:scatterStyle val="smoothMarker"/>
        <c:varyColors val="0"/>
        <c:ser>
          <c:idx val="0"/>
          <c:order val="0"/>
          <c:spPr>
            <a:ln w="25400" cap="rnd" cmpd="sng" algn="ctr">
              <a:noFill/>
              <a:prstDash val="solid"/>
              <a:round/>
            </a:ln>
            <a:effectLst/>
          </c:spPr>
          <c:marker>
            <c:symbol val="diamond"/>
            <c:size val="5"/>
            <c:spPr>
              <a:solidFill>
                <a:schemeClr val="accent3"/>
              </a:solidFill>
              <a:ln w="41275" cap="flat" cmpd="sng" algn="ctr">
                <a:solidFill>
                  <a:schemeClr val="accent3"/>
                </a:solidFill>
                <a:prstDash val="solid"/>
                <a:round/>
              </a:ln>
              <a:effectLst/>
            </c:spPr>
          </c:marker>
          <c:dPt>
            <c:idx val="2"/>
            <c:marker>
              <c:spPr>
                <a:solidFill>
                  <a:schemeClr val="accent3"/>
                </a:solidFill>
                <a:ln w="41275" cap="flat" cmpd="sng" algn="ctr">
                  <a:solidFill>
                    <a:schemeClr val="accent2"/>
                  </a:solidFill>
                  <a:prstDash val="solid"/>
                  <a:round/>
                </a:ln>
                <a:effectLst/>
              </c:spPr>
            </c:marker>
            <c:bubble3D val="0"/>
            <c:extLst>
              <c:ext xmlns:c16="http://schemas.microsoft.com/office/drawing/2014/chart" uri="{C3380CC4-5D6E-409C-BE32-E72D297353CC}">
                <c16:uniqueId val="{00000002-F86A-419E-BC7F-8705F0E39DD9}"/>
              </c:ext>
            </c:extLst>
          </c:dPt>
          <c:dPt>
            <c:idx val="3"/>
            <c:marker>
              <c:spPr>
                <a:solidFill>
                  <a:schemeClr val="accent3"/>
                </a:solidFill>
                <a:ln w="41275" cap="flat" cmpd="sng" algn="ctr">
                  <a:solidFill>
                    <a:schemeClr val="accent2"/>
                  </a:solidFill>
                  <a:prstDash val="solid"/>
                  <a:round/>
                </a:ln>
                <a:effectLst/>
              </c:spPr>
            </c:marker>
            <c:bubble3D val="0"/>
            <c:extLst>
              <c:ext xmlns:c16="http://schemas.microsoft.com/office/drawing/2014/chart" uri="{C3380CC4-5D6E-409C-BE32-E72D297353CC}">
                <c16:uniqueId val="{00000003-F86A-419E-BC7F-8705F0E39DD9}"/>
              </c:ext>
            </c:extLst>
          </c:dPt>
          <c:dLbls>
            <c:dLbl>
              <c:idx val="0"/>
              <c:tx>
                <c:strRef>
                  <c:f>Analysis!$AJ$62</c:f>
                  <c:strCache>
                    <c:ptCount val="1"/>
                    <c:pt idx="0">
                      <c:v>Indus Towers</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{D3B0AFEC-F7CF-43C1-A2DB-4A1DB06D62EE}</c15:txfldGUID>
                      <c15:f>Analysis!$AJ$62</c15:f>
                      <c15:dlblFieldTableCache>
                        <c:ptCount val="1"/>
                        <c:pt idx="0">
                          <c:v>Indus Towers</c:v>
                        </c:pt>
                      </c15:dlblFieldTableCache>
                    </c15:dlblFTEntry>
                  </c15:dlblFieldTable>
                  <c15:showDataLabelsRange val="0"/>
                </c:ext>
                <c:ext xmlns:c16="http://schemas.microsoft.com/office/drawing/2014/chart" uri="{C3380CC4-5D6E-409C-BE32-E72D297353CC}">
                  <c16:uniqueId val="{00000000-F86A-419E-BC7F-8705F0E39DD9}"/>
                </c:ext>
              </c:extLst>
            </c:dLbl>
            <c:dLbl>
              <c:idx val="1"/>
              <c:tx>
                <c:strRef>
                  <c:f>Analysis!$AJ$63</c:f>
                  <c:strCache>
                    <c:ptCount val="1"/>
                    <c:pt idx="0">
                      <c:v>China Tower</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{406FB7E1-6006-4CB2-BC76-C9E13EF91ECD}</c15:txfldGUID>
                      <c15:f>Analysis!$AJ$63</c15:f>
                      <c15:dlblFieldTableCache>
                        <c:ptCount val="1"/>
                        <c:pt idx="0">
                          <c:v>China Tower</c:v>
                        </c:pt>
                      </c15:dlblFieldTableCache>
                    </c15:dlblFTEntry>
                  </c15:dlblFieldTable>
                  <c15:showDataLabelsRange val="0"/>
                </c:ext>
                <c:ext xmlns:c16="http://schemas.microsoft.com/office/drawing/2014/chart" uri="{C3380CC4-5D6E-409C-BE32-E72D297353CC}">
                  <c16:uniqueId val="{00000001-F86A-419E-BC7F-8705F0E39DD9}"/>
                </c:ext>
              </c:extLst>
            </c:dLbl>
            <c:dLbl>
              <c:idx val="2"/>
              <c:tx>
                <c:strRef>
                  <c:f>Analysis!$AJ$64</c:f>
                  <c:strCache>
                    <c:ptCount val="1"/>
                    <c:pt idx="0">
                      <c:v>Opsimex</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{5E6B27F6-A34D-4E3A-9C4F-3A1D22A22BC8}</c15:txfldGUID>
                      <c15:f>Analysis!$AJ$64</c15:f>
                      <c15:dlblFieldTableCache>
                        <c:ptCount val="1"/>
                        <c:pt idx="0">
                          <c:v>Opsimex</c:v>
                        </c:pt>
                      </c15:dlblFieldTableCache>
                    </c15:dlblFTEntry>
                  </c15:dlblFieldTable>
                  <c15:showDataLabelsRange val="0"/>
                </c:ext>
                <c:ext xmlns:c16="http://schemas.microsoft.com/office/drawing/2014/chart" uri="{C3380CC4-5D6E-409C-BE32-E72D297353CC}">
                  <c16:uniqueId val="{00000002-F86A-419E-BC7F-8705F0E39DD9}"/>
                </c:ext>
              </c:extLst>
            </c:dLbl>
            <c:dLbl>
              <c:idx val="3"/>
              <c:layout>
                <c:manualLayout>
                  <c:x val="-4.1282058783334054E-2"/>
                  <c:y val="2.3569017320443988E-2"/>
                </c:manualLayout>
              </c:layout>
              <c:tx>
                <c:strRef>
                  <c:f>Analysis!$AJ$65</c:f>
                  <c:strCache>
                    <c:ptCount val="1"/>
                    <c:pt idx="0">
                      <c:v>Sitios</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{90F0E69F-E054-4D9A-AF90-A53C363BF16A}</c15:txfldGUID>
                      <c15:f>Analysis!$AJ$65</c15:f>
                      <c15:dlblFieldTableCache>
                        <c:ptCount val="1"/>
                        <c:pt idx="0">
                          <c:v>Sitios</c:v>
                        </c:pt>
                      </c15:dlblFieldTableCache>
                    </c15:dlblFTEntry>
                  </c15:dlblFieldTable>
                  <c15:showDataLabelsRange val="0"/>
                </c:ext>
                <c:ext xmlns:c16="http://schemas.microsoft.com/office/drawing/2014/chart" uri="{C3380CC4-5D6E-409C-BE32-E72D297353CC}">
                  <c16:uniqueId val="{00000003-F86A-419E-BC7F-8705F0E39DD9}"/>
                </c:ext>
              </c:extLst>
            </c:dLbl>
            <c:dLbl>
              <c:idx val="4"/>
              <c:layout>
                <c:manualLayout>
                  <c:x val="0"/>
                  <c:y val="2.5925919052488387E-2"/>
                </c:manualLayout>
              </c:layout>
              <c:tx>
                <c:strRef>
                  <c:f>Analysis!$AJ$66</c:f>
                  <c:strCache>
                    <c:ptCount val="1"/>
                    <c:pt idx="0">
                      <c:v>Tower Bersama</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{21411B5F-ED1F-43AA-B4D6-E717BE10D6BE}</c15:txfldGUID>
                      <c15:f>Analysis!$AJ$66</c15:f>
                      <c15:dlblFieldTableCache>
                        <c:ptCount val="1"/>
                        <c:pt idx="0">
                          <c:v>Tower Bersama</c:v>
                        </c:pt>
                      </c15:dlblFieldTableCache>
                    </c15:dlblFTEntry>
                  </c15:dlblFieldTable>
                  <c15:showDataLabelsRange val="0"/>
                </c:ext>
                <c:ext xmlns:c16="http://schemas.microsoft.com/office/drawing/2014/chart" uri="{C3380CC4-5D6E-409C-BE32-E72D297353CC}">
                  <c16:uniqueId val="{00000004-F86A-419E-BC7F-8705F0E39DD9}"/>
                </c:ext>
              </c:extLst>
            </c:dLbl>
            <c:dLbl>
              <c:idx val="5"/>
              <c:tx>
                <c:strRef>
                  <c:f>Analysis!$AJ$67</c:f>
                  <c:strCache>
                    <c:ptCount val="1"/>
                    <c:pt idx="0">
                      <c:v>Sarana Menara</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{668D9E75-7D19-4591-95B5-F1AD0695422C}</c15:txfldGUID>
                      <c15:f>Analysis!$AJ$67</c15:f>
                      <c15:dlblFieldTableCache>
                        <c:ptCount val="1"/>
                        <c:pt idx="0">
                          <c:v>Sarana Menara</c:v>
                        </c:pt>
                      </c15:dlblFieldTableCache>
                    </c15:dlblFTEntry>
                  </c15:dlblFieldTable>
                  <c15:showDataLabelsRange val="0"/>
                </c:ext>
                <c:ext xmlns:c16="http://schemas.microsoft.com/office/drawing/2014/chart" uri="{C3380CC4-5D6E-409C-BE32-E72D297353CC}">
                  <c16:uniqueId val="{00000005-F86A-419E-BC7F-8705F0E39DD9}"/>
                </c:ext>
              </c:extLst>
            </c:dLbl>
            <c:dLbl>
              <c:idx val="6"/>
              <c:tx>
                <c:strRef>
                  <c:f>Analysis!$AJ$68</c:f>
                  <c:strCache>
                    <c:ptCount val="1"/>
                    <c:pt idx="0">
                      <c:v>Mitratel</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{D5898F29-4369-4D99-921F-0F159C8501CE}</c15:txfldGUID>
                      <c15:f>Analysis!$AJ$68</c15:f>
                      <c15:dlblFieldTableCache>
                        <c:ptCount val="1"/>
                        <c:pt idx="0">
                          <c:v>Mitratel</c:v>
                        </c:pt>
                      </c15:dlblFieldTableCache>
                    </c15:dlblFTEntry>
                  </c15:dlblFieldTable>
                  <c15:showDataLabelsRange val="0"/>
                </c:ext>
                <c:ext xmlns:c16="http://schemas.microsoft.com/office/drawing/2014/chart" uri="{C3380CC4-5D6E-409C-BE32-E72D297353CC}">
                  <c16:uniqueId val="{00000006-F86A-419E-BC7F-8705F0E39DD9}"/>
                </c:ext>
              </c:extLst>
            </c:dLbl>
            <c:dLbl>
              <c:idx val="7"/>
              <c:tx>
                <c:strRef>
                  <c:f>Analysis!$AJ$69</c:f>
                  <c:strCache>
                    <c:ptCount val="1"/>
                    <c:pt idx="0">
                      <c:v>Inwit</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{C1048A28-297C-42C2-AAF6-A0DF29FC02E7}</c15:txfldGUID>
                      <c15:f>Analysis!$AJ$69</c15:f>
                      <c15:dlblFieldTableCache>
                        <c:ptCount val="1"/>
                        <c:pt idx="0">
                          <c:v>Inwit</c:v>
                        </c:pt>
                      </c15:dlblFieldTableCache>
                    </c15:dlblFTEntry>
                  </c15:dlblFieldTable>
                  <c15:showDataLabelsRange val="0"/>
                </c:ext>
                <c:ext xmlns:c16="http://schemas.microsoft.com/office/drawing/2014/chart" uri="{C3380CC4-5D6E-409C-BE32-E72D297353CC}">
                  <c16:uniqueId val="{00000007-F86A-419E-BC7F-8705F0E39DD9}"/>
                </c:ext>
              </c:extLst>
            </c:dLbl>
            <c:dLbl>
              <c:idx val="8"/>
              <c:tx>
                <c:strRef>
                  <c:f>Analysis!$AJ$70</c:f>
                  <c:strCache>
                    <c:ptCount val="1"/>
                    <c:pt idx="0">
                      <c:v>Cellnex</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{FD5C429B-ECB0-4C03-A130-29AA885EEC48}</c15:txfldGUID>
                      <c15:f>Analysis!$AJ$70</c15:f>
                      <c15:dlblFieldTableCache>
                        <c:ptCount val="1"/>
                        <c:pt idx="0">
                          <c:v>Cellnex</c:v>
                        </c:pt>
                      </c15:dlblFieldTableCache>
                    </c15:dlblFTEntry>
                  </c15:dlblFieldTable>
                  <c15:showDataLabelsRange val="0"/>
                </c:ext>
                <c:ext xmlns:c16="http://schemas.microsoft.com/office/drawing/2014/chart" uri="{C3380CC4-5D6E-409C-BE32-E72D297353CC}">
                  <c16:uniqueId val="{00000008-F86A-419E-BC7F-8705F0E39DD9}"/>
                </c:ext>
              </c:extLst>
            </c:dLbl>
            <c:dLbl>
              <c:idx val="9"/>
              <c:tx>
                <c:strRef>
                  <c:f>Analysis!$AJ$71</c:f>
                  <c:strCache>
                    <c:ptCount val="1"/>
                    <c:pt idx="0">
                      <c:v>Vantage</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{6878B835-2146-4441-8A88-CE6F52EA26F4}</c15:txfldGUID>
                      <c15:f>Analysis!$AJ$71</c15:f>
                      <c15:dlblFieldTableCache>
                        <c:ptCount val="1"/>
                        <c:pt idx="0">
                          <c:v>Vantage</c:v>
                        </c:pt>
                      </c15:dlblFieldTableCache>
                    </c15:dlblFTEntry>
                  </c15:dlblFieldTable>
                  <c15:showDataLabelsRange val="0"/>
                </c:ext>
                <c:ext xmlns:c16="http://schemas.microsoft.com/office/drawing/2014/chart" uri="{C3380CC4-5D6E-409C-BE32-E72D297353CC}">
                  <c16:uniqueId val="{00000009-F86A-419E-BC7F-8705F0E39DD9}"/>
                </c:ext>
              </c:extLst>
            </c:dLbl>
            <c:dLbl>
              <c:idx val="10"/>
              <c:tx>
                <c:strRef>
                  <c:f>Analysis!$AJ$72</c:f>
                  <c:strCache>
                    <c:ptCount val="1"/>
                    <c:pt idx="0">
                      <c:v>IHS</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{7D9A38A7-BC5D-4274-A569-7D0EB8FEAB48}</c15:txfldGUID>
                      <c15:f>Analysis!$AJ$72</c15:f>
                      <c15:dlblFieldTableCache>
                        <c:ptCount val="1"/>
                        <c:pt idx="0">
                          <c:v>IHS</c:v>
                        </c:pt>
                      </c15:dlblFieldTableCache>
                    </c15:dlblFTEntry>
                  </c15:dlblFieldTable>
                  <c15:showDataLabelsRange val="0"/>
                </c:ext>
                <c:ext xmlns:c16="http://schemas.microsoft.com/office/drawing/2014/chart" uri="{C3380CC4-5D6E-409C-BE32-E72D297353CC}">
                  <c16:uniqueId val="{0000000A-F86A-419E-BC7F-8705F0E39DD9}"/>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Roboto" panose="02000000000000000000" pitchFamily="2" charset="0"/>
                    <a:ea typeface="Roboto" panose="02000000000000000000" pitchFamily="2" charset="0"/>
                    <a:cs typeface="Trebuchet M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trendline>
            <c:spPr>
              <a:ln w="6350" cap="rnd" cmpd="sng" algn="ctr">
                <a:solidFill>
                  <a:schemeClr val="tx1"/>
                </a:solidFill>
                <a:prstDash val="solid"/>
                <a:round/>
              </a:ln>
              <a:effectLst/>
            </c:spPr>
            <c:trendlineType val="linear"/>
            <c:dispRSqr val="0"/>
            <c:dispEq val="0"/>
          </c:trendline>
          <c:xVal>
            <c:numRef>
              <c:f>Analysis!$AK$62:$AK$72</c:f>
              <c:numCache>
                <c:formatCode>0.0%</c:formatCode>
                <c:ptCount val="11"/>
                <c:pt idx="0">
                  <c:v>1.5375513337463786E-2</c:v>
                </c:pt>
                <c:pt idx="1">
                  <c:v>9.1740832733743449E-2</c:v>
                </c:pt>
                <c:pt idx="2">
                  <c:v>8.1778859670126991E-2</c:v>
                </c:pt>
                <c:pt idx="3">
                  <c:v>6.5879110308041389E-2</c:v>
                </c:pt>
                <c:pt idx="4">
                  <c:v>0.14932321912594748</c:v>
                </c:pt>
                <c:pt idx="5">
                  <c:v>6.4287532696867489E-2</c:v>
                </c:pt>
                <c:pt idx="6">
                  <c:v>0.10757253117803112</c:v>
                </c:pt>
                <c:pt idx="7">
                  <c:v>0.13</c:v>
                </c:pt>
                <c:pt idx="8">
                  <c:v>0.12</c:v>
                </c:pt>
                <c:pt idx="9">
                  <c:v>7.3999999999999996E-2</c:v>
                </c:pt>
                <c:pt idx="10">
                  <c:v>0.13723411681485276</c:v>
                </c:pt>
              </c:numCache>
            </c:numRef>
          </c:xVal>
          <c:yVal>
            <c:numRef>
              <c:f>Analysis!$AL$62:$AL$72</c:f>
              <c:numCache>
                <c:formatCode>0.0</c:formatCode>
                <c:ptCount val="11"/>
                <c:pt idx="0">
                  <c:v>3.6</c:v>
                </c:pt>
                <c:pt idx="1">
                  <c:v>3.5</c:v>
                </c:pt>
                <c:pt idx="2">
                  <c:v>11.6</c:v>
                </c:pt>
                <c:pt idx="3">
                  <c:v>11.230994907710452</c:v>
                </c:pt>
                <c:pt idx="4">
                  <c:v>11</c:v>
                </c:pt>
                <c:pt idx="5">
                  <c:v>9</c:v>
                </c:pt>
                <c:pt idx="6">
                  <c:v>10.8</c:v>
                </c:pt>
                <c:pt idx="7">
                  <c:v>21</c:v>
                </c:pt>
                <c:pt idx="8">
                  <c:v>22.8</c:v>
                </c:pt>
                <c:pt idx="9">
                  <c:v>22.2</c:v>
                </c:pt>
                <c:pt idx="10">
                  <c:v>4.3</c:v>
                </c:pt>
              </c:numCache>
            </c:numRef>
          </c:yVal>
          <c:smooth val="0"/>
          <c:extLst>
            <c:ext xmlns:c16="http://schemas.microsoft.com/office/drawing/2014/chart" uri="{C3380CC4-5D6E-409C-BE32-E72D297353CC}">
              <c16:uniqueId val="{0000000B-F86A-419E-BC7F-8705F0E39DD9}"/>
            </c:ext>
          </c:extLst>
        </c:ser>
        <c:dLbls>
          <c:showLegendKey val="0"/>
          <c:showVal val="0"/>
          <c:showCatName val="0"/>
          <c:showSerName val="0"/>
          <c:showPercent val="0"/>
          <c:showBubbleSize val="0"/>
        </c:dLbls>
        <c:axId val="634185327"/>
        <c:axId val="634187247"/>
      </c:scatterChart>
      <c:valAx>
        <c:axId val="634185327"/>
        <c:scaling>
          <c:orientation val="minMax"/>
        </c:scaling>
        <c:delete val="0"/>
        <c:axPos val="b"/>
        <c:numFmt formatCode="0.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Roboto" panose="02000000000000000000" pitchFamily="2" charset="0"/>
                <a:ea typeface="Roboto" panose="02000000000000000000" pitchFamily="2" charset="0"/>
                <a:cs typeface="Trebuchet MS"/>
              </a:defRPr>
            </a:pPr>
            <a:endParaRPr lang="en-US"/>
          </a:p>
        </c:txPr>
        <c:crossAx val="634187247"/>
        <c:crosses val="autoZero"/>
        <c:crossBetween val="midCat"/>
      </c:valAx>
      <c:valAx>
        <c:axId val="634187247"/>
        <c:scaling>
          <c:orientation val="minMax"/>
        </c:scaling>
        <c:delete val="0"/>
        <c:axPos val="l"/>
        <c:majorGridlines>
          <c:spPr>
            <a:ln w="3175" cap="flat" cmpd="sng" algn="ctr">
              <a:solidFill>
                <a:srgbClr val="C0C0C0"/>
              </a:solidFill>
              <a:prstDash val="solid"/>
              <a:round/>
            </a:ln>
            <a:effectLst/>
          </c:spPr>
        </c:majorGridlines>
        <c:numFmt formatCode="0.0\x"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Roboto" panose="02000000000000000000" pitchFamily="2" charset="0"/>
                <a:ea typeface="Roboto" panose="02000000000000000000" pitchFamily="2" charset="0"/>
                <a:cs typeface="Trebuchet MS"/>
              </a:defRPr>
            </a:pPr>
            <a:endParaRPr lang="en-US"/>
          </a:p>
        </c:txPr>
        <c:crossAx val="634185327"/>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prstDash val="solid"/>
      <a:round/>
    </a:ln>
    <a:effectLst/>
  </c:spPr>
  <c:txPr>
    <a:bodyPr/>
    <a:lstStyle/>
    <a:p>
      <a:pPr>
        <a:defRPr sz="1000" b="0" i="0" u="none" strike="noStrike" baseline="0">
          <a:latin typeface="Trebuchet MS"/>
          <a:ea typeface="Trebuchet MS"/>
          <a:cs typeface="Trebuchet MS"/>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'Sitios v Opsimex'!$A$8</c:f>
              <c:strCache>
                <c:ptCount val="1"/>
                <c:pt idx="0">
                  <c:v>Opsimex</c:v>
                </c:pt>
              </c:strCache>
            </c:strRef>
          </c:tx>
          <c:spPr>
            <a:solidFill>
              <a:srgbClr val="263238"/>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rgbClr val="4D4D4D"/>
                    </a:solidFill>
                    <a:latin typeface="Roboto" pitchFamily="2" charset="0"/>
                    <a:ea typeface="Roboto" pitchFamily="2"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Opsimex'!$B$7:$F$7</c:f>
              <c:strCache>
                <c:ptCount val="5"/>
                <c:pt idx="0">
                  <c:v>Q1 22</c:v>
                </c:pt>
                <c:pt idx="1">
                  <c:v>Q2 22</c:v>
                </c:pt>
                <c:pt idx="2">
                  <c:v>Q3 22</c:v>
                </c:pt>
                <c:pt idx="3">
                  <c:v>Q4 22</c:v>
                </c:pt>
                <c:pt idx="4">
                  <c:v>Q1 23</c:v>
                </c:pt>
              </c:strCache>
            </c:strRef>
          </c:cat>
          <c:val>
            <c:numRef>
              <c:f>'Sitios v Opsimex'!$B$8:$F$8</c:f>
              <c:numCache>
                <c:formatCode>0%</c:formatCode>
                <c:ptCount val="5"/>
                <c:pt idx="0">
                  <c:v>0.12039279580782947</c:v>
                </c:pt>
                <c:pt idx="1">
                  <c:v>2.4407499115670195E-2</c:v>
                </c:pt>
                <c:pt idx="2">
                  <c:v>1.7521485573971818E-2</c:v>
                </c:pt>
                <c:pt idx="3">
                  <c:v>3.0855920738080522E-2</c:v>
                </c:pt>
                <c:pt idx="4">
                  <c:v>3.7345916090566478E-2</c:v>
                </c:pt>
              </c:numCache>
            </c:numRef>
          </c:val>
          <c:extLst>
            <c:ext xmlns:c16="http://schemas.microsoft.com/office/drawing/2014/chart" uri="{C3380CC4-5D6E-409C-BE32-E72D297353CC}">
              <c16:uniqueId val="{00000000-3847-4986-8373-DD0E19E8F0E7}"/>
            </c:ext>
          </c:extLst>
        </c:ser>
        <c:ser>
          <c:idx val="1"/>
          <c:order val="1"/>
          <c:tx>
            <c:strRef>
              <c:f>'Sitios v Opsimex'!$A$9</c:f>
              <c:strCache>
                <c:ptCount val="1"/>
                <c:pt idx="0">
                  <c:v>Sitios</c:v>
                </c:pt>
              </c:strCache>
            </c:strRef>
          </c:tx>
          <c:spPr>
            <a:solidFill>
              <a:srgbClr val="79909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4D4D4D"/>
                    </a:solidFill>
                    <a:latin typeface="Roboto" pitchFamily="2" charset="0"/>
                    <a:ea typeface="Roboto" pitchFamily="2"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Opsimex'!$B$7:$F$7</c:f>
              <c:strCache>
                <c:ptCount val="5"/>
                <c:pt idx="0">
                  <c:v>Q1 22</c:v>
                </c:pt>
                <c:pt idx="1">
                  <c:v>Q2 22</c:v>
                </c:pt>
                <c:pt idx="2">
                  <c:v>Q3 22</c:v>
                </c:pt>
                <c:pt idx="3">
                  <c:v>Q4 22</c:v>
                </c:pt>
                <c:pt idx="4">
                  <c:v>Q1 23</c:v>
                </c:pt>
              </c:strCache>
            </c:strRef>
          </c:cat>
          <c:val>
            <c:numRef>
              <c:f>'Sitios v Opsimex'!$B$9:$F$9</c:f>
              <c:numCache>
                <c:formatCode>General</c:formatCode>
                <c:ptCount val="5"/>
                <c:pt idx="3" formatCode="0%">
                  <c:v>-5.7536076143690495E-2</c:v>
                </c:pt>
                <c:pt idx="4" formatCode="0%">
                  <c:v>2.6282860498337612E-2</c:v>
                </c:pt>
              </c:numCache>
            </c:numRef>
          </c:val>
          <c:extLst>
            <c:ext xmlns:c16="http://schemas.microsoft.com/office/drawing/2014/chart" uri="{C3380CC4-5D6E-409C-BE32-E72D297353CC}">
              <c16:uniqueId val="{00000002-3847-4986-8373-DD0E19E8F0E7}"/>
            </c:ext>
          </c:extLst>
        </c:ser>
        <c:dLbls>
          <c:dLblPos val="inEnd"/>
          <c:showLegendKey val="0"/>
          <c:showVal val="1"/>
          <c:showCatName val="0"/>
          <c:showSerName val="0"/>
          <c:showPercent val="0"/>
          <c:showBubbleSize val="0"/>
        </c:dLbls>
        <c:gapWidth val="200"/>
        <c:overlap val="-30"/>
        <c:axId val="1495160607"/>
        <c:axId val="1495161855"/>
      </c:barChart>
      <c:catAx>
        <c:axId val="149516060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crossAx val="1495161855"/>
        <c:crosses val="autoZero"/>
        <c:auto val="1"/>
        <c:lblAlgn val="ctr"/>
        <c:lblOffset val="100"/>
        <c:noMultiLvlLbl val="0"/>
      </c:catAx>
      <c:valAx>
        <c:axId val="1495161855"/>
        <c:scaling>
          <c:orientation val="minMax"/>
        </c:scaling>
        <c:delete val="1"/>
        <c:axPos val="l"/>
        <c:numFmt formatCode="0%" sourceLinked="1"/>
        <c:majorTickMark val="none"/>
        <c:minorTickMark val="none"/>
        <c:tickLblPos val="nextTo"/>
        <c:crossAx val="1495160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'Sitios v Opsimex'!$A$27</c:f>
              <c:strCache>
                <c:ptCount val="1"/>
                <c:pt idx="0">
                  <c:v>Opsimex</c:v>
                </c:pt>
              </c:strCache>
            </c:strRef>
          </c:tx>
          <c:spPr>
            <a:solidFill>
              <a:srgbClr val="263238"/>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rgbClr val="4D4D4D"/>
                    </a:solidFill>
                    <a:latin typeface="Roboto" pitchFamily="2" charset="0"/>
                    <a:ea typeface="Roboto" pitchFamily="2"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Opsimex'!$G$26:$K$26</c:f>
              <c:strCache>
                <c:ptCount val="5"/>
                <c:pt idx="0">
                  <c:v>Q1 22</c:v>
                </c:pt>
                <c:pt idx="1">
                  <c:v>Q2 22</c:v>
                </c:pt>
                <c:pt idx="2">
                  <c:v>Q3 22</c:v>
                </c:pt>
                <c:pt idx="3">
                  <c:v>Q4 22</c:v>
                </c:pt>
                <c:pt idx="4">
                  <c:v>Q1 23</c:v>
                </c:pt>
              </c:strCache>
            </c:strRef>
          </c:cat>
          <c:val>
            <c:numRef>
              <c:f>'Sitios v Opsimex'!$G$27:$K$27</c:f>
              <c:numCache>
                <c:formatCode>General</c:formatCode>
                <c:ptCount val="5"/>
                <c:pt idx="0">
                  <c:v>20302</c:v>
                </c:pt>
                <c:pt idx="1">
                  <c:v>20707</c:v>
                </c:pt>
                <c:pt idx="2">
                  <c:v>21053</c:v>
                </c:pt>
                <c:pt idx="3">
                  <c:v>21702</c:v>
                </c:pt>
                <c:pt idx="4">
                  <c:v>21869</c:v>
                </c:pt>
              </c:numCache>
            </c:numRef>
          </c:val>
          <c:extLst>
            <c:ext xmlns:c16="http://schemas.microsoft.com/office/drawing/2014/chart" uri="{C3380CC4-5D6E-409C-BE32-E72D297353CC}">
              <c16:uniqueId val="{00000000-3847-4986-8373-DD0E19E8F0E7}"/>
            </c:ext>
          </c:extLst>
        </c:ser>
        <c:ser>
          <c:idx val="1"/>
          <c:order val="1"/>
          <c:tx>
            <c:strRef>
              <c:f>'Sitios v Opsimex'!$A$28</c:f>
              <c:strCache>
                <c:ptCount val="1"/>
                <c:pt idx="0">
                  <c:v>Sitios</c:v>
                </c:pt>
              </c:strCache>
            </c:strRef>
          </c:tx>
          <c:spPr>
            <a:solidFill>
              <a:srgbClr val="79909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4D4D4D"/>
                    </a:solidFill>
                    <a:latin typeface="Roboto" pitchFamily="2" charset="0"/>
                    <a:ea typeface="Roboto" pitchFamily="2"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Opsimex'!$G$26:$K$26</c:f>
              <c:strCache>
                <c:ptCount val="5"/>
                <c:pt idx="0">
                  <c:v>Q1 22</c:v>
                </c:pt>
                <c:pt idx="1">
                  <c:v>Q2 22</c:v>
                </c:pt>
                <c:pt idx="2">
                  <c:v>Q3 22</c:v>
                </c:pt>
                <c:pt idx="3">
                  <c:v>Q4 22</c:v>
                </c:pt>
                <c:pt idx="4">
                  <c:v>Q1 23</c:v>
                </c:pt>
              </c:strCache>
            </c:strRef>
          </c:cat>
          <c:val>
            <c:numRef>
              <c:f>'Sitios v Opsimex'!$G$28:$K$28</c:f>
              <c:numCache>
                <c:formatCode>#,##0</c:formatCode>
                <c:ptCount val="5"/>
                <c:pt idx="1">
                  <c:v>29090</c:v>
                </c:pt>
                <c:pt idx="2">
                  <c:v>29163</c:v>
                </c:pt>
                <c:pt idx="3">
                  <c:v>29727</c:v>
                </c:pt>
                <c:pt idx="4">
                  <c:v>34116</c:v>
                </c:pt>
              </c:numCache>
            </c:numRef>
          </c:val>
          <c:extLst>
            <c:ext xmlns:c16="http://schemas.microsoft.com/office/drawing/2014/chart" uri="{C3380CC4-5D6E-409C-BE32-E72D297353CC}">
              <c16:uniqueId val="{00000002-3847-4986-8373-DD0E19E8F0E7}"/>
            </c:ext>
          </c:extLst>
        </c:ser>
        <c:dLbls>
          <c:dLblPos val="inEnd"/>
          <c:showLegendKey val="0"/>
          <c:showVal val="1"/>
          <c:showCatName val="0"/>
          <c:showSerName val="0"/>
          <c:showPercent val="0"/>
          <c:showBubbleSize val="0"/>
        </c:dLbls>
        <c:gapWidth val="200"/>
        <c:overlap val="-30"/>
        <c:axId val="1495160607"/>
        <c:axId val="1495161855"/>
      </c:barChart>
      <c:catAx>
        <c:axId val="1495160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crossAx val="1495161855"/>
        <c:crosses val="autoZero"/>
        <c:auto val="1"/>
        <c:lblAlgn val="ctr"/>
        <c:lblOffset val="100"/>
        <c:noMultiLvlLbl val="0"/>
      </c:catAx>
      <c:valAx>
        <c:axId val="1495161855"/>
        <c:scaling>
          <c:orientation val="minMax"/>
        </c:scaling>
        <c:delete val="1"/>
        <c:axPos val="l"/>
        <c:numFmt formatCode="General" sourceLinked="1"/>
        <c:majorTickMark val="none"/>
        <c:minorTickMark val="none"/>
        <c:tickLblPos val="nextTo"/>
        <c:crossAx val="1495160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'Sitios v Opsimex'!$A$32</c:f>
              <c:strCache>
                <c:ptCount val="1"/>
                <c:pt idx="0">
                  <c:v>Opsimex</c:v>
                </c:pt>
              </c:strCache>
            </c:strRef>
          </c:tx>
          <c:spPr>
            <a:solidFill>
              <a:srgbClr val="263238"/>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rgbClr val="4D4D4D"/>
                    </a:solidFill>
                    <a:latin typeface="Roboto" pitchFamily="2" charset="0"/>
                    <a:ea typeface="Roboto" pitchFamily="2"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Opsimex'!$H$31:$K$31</c:f>
              <c:strCache>
                <c:ptCount val="4"/>
                <c:pt idx="0">
                  <c:v>Q2 22</c:v>
                </c:pt>
                <c:pt idx="1">
                  <c:v>Q3 22</c:v>
                </c:pt>
                <c:pt idx="2">
                  <c:v>Q4 22</c:v>
                </c:pt>
                <c:pt idx="3">
                  <c:v>Q1 23</c:v>
                </c:pt>
              </c:strCache>
            </c:strRef>
          </c:cat>
          <c:val>
            <c:numRef>
              <c:f>'Sitios v Opsimex'!$H$32:$K$32</c:f>
              <c:numCache>
                <c:formatCode>General</c:formatCode>
                <c:ptCount val="4"/>
                <c:pt idx="0">
                  <c:v>405</c:v>
                </c:pt>
                <c:pt idx="1">
                  <c:v>346</c:v>
                </c:pt>
                <c:pt idx="2">
                  <c:v>261</c:v>
                </c:pt>
                <c:pt idx="3">
                  <c:v>167</c:v>
                </c:pt>
              </c:numCache>
            </c:numRef>
          </c:val>
          <c:extLst>
            <c:ext xmlns:c16="http://schemas.microsoft.com/office/drawing/2014/chart" uri="{C3380CC4-5D6E-409C-BE32-E72D297353CC}">
              <c16:uniqueId val="{00000000-3847-4986-8373-DD0E19E8F0E7}"/>
            </c:ext>
          </c:extLst>
        </c:ser>
        <c:ser>
          <c:idx val="1"/>
          <c:order val="1"/>
          <c:tx>
            <c:strRef>
              <c:f>'Sitios v Opsimex'!$A$33</c:f>
              <c:strCache>
                <c:ptCount val="1"/>
                <c:pt idx="0">
                  <c:v>Sitios</c:v>
                </c:pt>
              </c:strCache>
            </c:strRef>
          </c:tx>
          <c:spPr>
            <a:solidFill>
              <a:srgbClr val="79909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4D4D4D"/>
                    </a:solidFill>
                    <a:latin typeface="Roboto" pitchFamily="2" charset="0"/>
                    <a:ea typeface="Roboto" pitchFamily="2"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Opsimex'!$H$31:$K$31</c:f>
              <c:strCache>
                <c:ptCount val="4"/>
                <c:pt idx="0">
                  <c:v>Q2 22</c:v>
                </c:pt>
                <c:pt idx="1">
                  <c:v>Q3 22</c:v>
                </c:pt>
                <c:pt idx="2">
                  <c:v>Q4 22</c:v>
                </c:pt>
                <c:pt idx="3">
                  <c:v>Q1 23</c:v>
                </c:pt>
              </c:strCache>
            </c:strRef>
          </c:cat>
          <c:val>
            <c:numRef>
              <c:f>'Sitios v Opsimex'!$H$33:$K$33</c:f>
              <c:numCache>
                <c:formatCode>General</c:formatCode>
                <c:ptCount val="4"/>
                <c:pt idx="1">
                  <c:v>73</c:v>
                </c:pt>
                <c:pt idx="2">
                  <c:v>64</c:v>
                </c:pt>
                <c:pt idx="3">
                  <c:v>21</c:v>
                </c:pt>
              </c:numCache>
            </c:numRef>
          </c:val>
          <c:extLst>
            <c:ext xmlns:c16="http://schemas.microsoft.com/office/drawing/2014/chart" uri="{C3380CC4-5D6E-409C-BE32-E72D297353CC}">
              <c16:uniqueId val="{00000002-3847-4986-8373-DD0E19E8F0E7}"/>
            </c:ext>
          </c:extLst>
        </c:ser>
        <c:dLbls>
          <c:dLblPos val="inEnd"/>
          <c:showLegendKey val="0"/>
          <c:showVal val="1"/>
          <c:showCatName val="0"/>
          <c:showSerName val="0"/>
          <c:showPercent val="0"/>
          <c:showBubbleSize val="0"/>
        </c:dLbls>
        <c:gapWidth val="200"/>
        <c:overlap val="-30"/>
        <c:axId val="1495160607"/>
        <c:axId val="1495161855"/>
      </c:barChart>
      <c:catAx>
        <c:axId val="1495160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crossAx val="1495161855"/>
        <c:crosses val="autoZero"/>
        <c:auto val="1"/>
        <c:lblAlgn val="ctr"/>
        <c:lblOffset val="100"/>
        <c:noMultiLvlLbl val="0"/>
      </c:catAx>
      <c:valAx>
        <c:axId val="1495161855"/>
        <c:scaling>
          <c:orientation val="minMax"/>
        </c:scaling>
        <c:delete val="1"/>
        <c:axPos val="l"/>
        <c:numFmt formatCode="General" sourceLinked="1"/>
        <c:majorTickMark val="none"/>
        <c:minorTickMark val="none"/>
        <c:tickLblPos val="nextTo"/>
        <c:crossAx val="1495160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'Sitios v Opsimex'!$A$52</c:f>
              <c:strCache>
                <c:ptCount val="1"/>
                <c:pt idx="0">
                  <c:v>Opsimex</c:v>
                </c:pt>
              </c:strCache>
            </c:strRef>
          </c:tx>
          <c:spPr>
            <a:ln w="28575" cap="rnd">
              <a:solidFill>
                <a:srgbClr val="263238"/>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Roboto" pitchFamily="2" charset="0"/>
                    <a:ea typeface="Roboto" pitchFamily="2"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Opsimex'!$B$51:$F$51</c:f>
              <c:strCache>
                <c:ptCount val="5"/>
                <c:pt idx="0">
                  <c:v>Q1 22</c:v>
                </c:pt>
                <c:pt idx="1">
                  <c:v>Q2 22</c:v>
                </c:pt>
                <c:pt idx="2">
                  <c:v>Q3 22</c:v>
                </c:pt>
                <c:pt idx="3">
                  <c:v>Q4 22</c:v>
                </c:pt>
                <c:pt idx="4">
                  <c:v>Q1 23</c:v>
                </c:pt>
              </c:strCache>
            </c:strRef>
          </c:cat>
          <c:val>
            <c:numRef>
              <c:f>'Sitios v Opsimex'!$B$52:$F$52</c:f>
              <c:numCache>
                <c:formatCode>0.00</c:formatCode>
                <c:ptCount val="5"/>
                <c:pt idx="0">
                  <c:v>1.2576593439070043</c:v>
                </c:pt>
                <c:pt idx="1">
                  <c:v>1.2520886656686145</c:v>
                </c:pt>
                <c:pt idx="2">
                  <c:v>1.2509381085830997</c:v>
                </c:pt>
                <c:pt idx="3">
                  <c:v>1.2670721592479957</c:v>
                </c:pt>
                <c:pt idx="4">
                  <c:v>1.2645296995747406</c:v>
                </c:pt>
              </c:numCache>
            </c:numRef>
          </c:val>
          <c:smooth val="0"/>
          <c:extLst>
            <c:ext xmlns:c16="http://schemas.microsoft.com/office/drawing/2014/chart" uri="{C3380CC4-5D6E-409C-BE32-E72D297353CC}">
              <c16:uniqueId val="{00000000-96AF-4D4E-A9CA-D5AA75EDF64E}"/>
            </c:ext>
          </c:extLst>
        </c:ser>
        <c:ser>
          <c:idx val="1"/>
          <c:order val="1"/>
          <c:tx>
            <c:strRef>
              <c:f>'Sitios v Opsimex'!$A$53</c:f>
              <c:strCache>
                <c:ptCount val="1"/>
                <c:pt idx="0">
                  <c:v>Sitios</c:v>
                </c:pt>
              </c:strCache>
            </c:strRef>
          </c:tx>
          <c:spPr>
            <a:ln w="28575" cap="rnd">
              <a:solidFill>
                <a:srgbClr val="799098"/>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4D4D4D"/>
                    </a:solidFill>
                    <a:latin typeface="Roboto" pitchFamily="2" charset="0"/>
                    <a:ea typeface="Roboto" pitchFamily="2"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Opsimex'!$B$51:$F$51</c:f>
              <c:strCache>
                <c:ptCount val="5"/>
                <c:pt idx="0">
                  <c:v>Q1 22</c:v>
                </c:pt>
                <c:pt idx="1">
                  <c:v>Q2 22</c:v>
                </c:pt>
                <c:pt idx="2">
                  <c:v>Q3 22</c:v>
                </c:pt>
                <c:pt idx="3">
                  <c:v>Q4 22</c:v>
                </c:pt>
                <c:pt idx="4">
                  <c:v>Q1 23</c:v>
                </c:pt>
              </c:strCache>
            </c:strRef>
          </c:cat>
          <c:val>
            <c:numRef>
              <c:f>'Sitios v Opsimex'!$B$53:$F$53</c:f>
              <c:numCache>
                <c:formatCode>0.00</c:formatCode>
                <c:ptCount val="5"/>
                <c:pt idx="2">
                  <c:v>1.23</c:v>
                </c:pt>
                <c:pt idx="3">
                  <c:v>1.22</c:v>
                </c:pt>
                <c:pt idx="4">
                  <c:v>1.1977957556571697</c:v>
                </c:pt>
              </c:numCache>
            </c:numRef>
          </c:val>
          <c:smooth val="0"/>
          <c:extLst>
            <c:ext xmlns:c16="http://schemas.microsoft.com/office/drawing/2014/chart" uri="{C3380CC4-5D6E-409C-BE32-E72D297353CC}">
              <c16:uniqueId val="{00000001-96AF-4D4E-A9CA-D5AA75EDF64E}"/>
            </c:ext>
          </c:extLst>
        </c:ser>
        <c:ser>
          <c:idx val="2"/>
          <c:order val="2"/>
          <c:tx>
            <c:strRef>
              <c:f>'Sitios v Opsimex'!$A$54</c:f>
              <c:strCache>
                <c:ptCount val="1"/>
                <c:pt idx="0">
                  <c:v>Sitios ex M&amp;A</c:v>
                </c:pt>
              </c:strCache>
            </c:strRef>
          </c:tx>
          <c:spPr>
            <a:ln w="28575" cap="rnd">
              <a:solidFill>
                <a:srgbClr val="799098"/>
              </a:solidFill>
              <a:prstDash val="sysDash"/>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Opsimex'!$B$51:$F$51</c:f>
              <c:strCache>
                <c:ptCount val="5"/>
                <c:pt idx="0">
                  <c:v>Q1 22</c:v>
                </c:pt>
                <c:pt idx="1">
                  <c:v>Q2 22</c:v>
                </c:pt>
                <c:pt idx="2">
                  <c:v>Q3 22</c:v>
                </c:pt>
                <c:pt idx="3">
                  <c:v>Q4 22</c:v>
                </c:pt>
                <c:pt idx="4">
                  <c:v>Q1 23</c:v>
                </c:pt>
              </c:strCache>
            </c:strRef>
          </c:cat>
          <c:val>
            <c:numRef>
              <c:f>'Sitios v Opsimex'!$B$54:$F$54</c:f>
              <c:numCache>
                <c:formatCode>0.00</c:formatCode>
                <c:ptCount val="5"/>
                <c:pt idx="2">
                  <c:v>1.23</c:v>
                </c:pt>
                <c:pt idx="3">
                  <c:v>1.22</c:v>
                </c:pt>
                <c:pt idx="4">
                  <c:v>1.226</c:v>
                </c:pt>
              </c:numCache>
            </c:numRef>
          </c:val>
          <c:smooth val="0"/>
          <c:extLst>
            <c:ext xmlns:c16="http://schemas.microsoft.com/office/drawing/2014/chart" uri="{C3380CC4-5D6E-409C-BE32-E72D297353CC}">
              <c16:uniqueId val="{0000000C-34F8-4E93-A246-E53A4B16C5A4}"/>
            </c:ext>
          </c:extLst>
        </c:ser>
        <c:dLbls>
          <c:showLegendKey val="0"/>
          <c:showVal val="1"/>
          <c:showCatName val="0"/>
          <c:showSerName val="0"/>
          <c:showPercent val="0"/>
          <c:showBubbleSize val="0"/>
        </c:dLbls>
        <c:smooth val="0"/>
        <c:axId val="1495160607"/>
        <c:axId val="1495161855"/>
      </c:lineChart>
      <c:catAx>
        <c:axId val="1495160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crossAx val="1495161855"/>
        <c:crosses val="autoZero"/>
        <c:auto val="1"/>
        <c:lblAlgn val="ctr"/>
        <c:lblOffset val="100"/>
        <c:noMultiLvlLbl val="0"/>
      </c:catAx>
      <c:valAx>
        <c:axId val="1495161855"/>
        <c:scaling>
          <c:orientation val="minMax"/>
        </c:scaling>
        <c:delete val="1"/>
        <c:axPos val="l"/>
        <c:numFmt formatCode="0.00" sourceLinked="1"/>
        <c:majorTickMark val="none"/>
        <c:minorTickMark val="none"/>
        <c:tickLblPos val="nextTo"/>
        <c:crossAx val="1495160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'Sitios v Opsimex'!$A$72</c:f>
              <c:strCache>
                <c:ptCount val="1"/>
                <c:pt idx="0">
                  <c:v>Opsimex</c:v>
                </c:pt>
              </c:strCache>
            </c:strRef>
          </c:tx>
          <c:spPr>
            <a:solidFill>
              <a:srgbClr val="263238"/>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rgbClr val="4D4D4D"/>
                    </a:solidFill>
                    <a:latin typeface="Roboto" pitchFamily="2" charset="0"/>
                    <a:ea typeface="Roboto" pitchFamily="2"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Opsimex'!$B$71:$F$71</c:f>
              <c:strCache>
                <c:ptCount val="5"/>
                <c:pt idx="0">
                  <c:v>Q1 22</c:v>
                </c:pt>
                <c:pt idx="1">
                  <c:v>Q2 22</c:v>
                </c:pt>
                <c:pt idx="2">
                  <c:v>Q3 22</c:v>
                </c:pt>
                <c:pt idx="3">
                  <c:v>Q4 22</c:v>
                </c:pt>
                <c:pt idx="4">
                  <c:v>Q1 23</c:v>
                </c:pt>
              </c:strCache>
            </c:strRef>
          </c:cat>
          <c:val>
            <c:numRef>
              <c:f>'Sitios v Opsimex'!$B$72:$F$72</c:f>
              <c:numCache>
                <c:formatCode>0%</c:formatCode>
                <c:ptCount val="5"/>
                <c:pt idx="0">
                  <c:v>4.7264373909394308E-2</c:v>
                </c:pt>
                <c:pt idx="1">
                  <c:v>4.4033116233028524E-2</c:v>
                </c:pt>
                <c:pt idx="2">
                  <c:v>3.6021834108184603E-2</c:v>
                </c:pt>
                <c:pt idx="3">
                  <c:v>5.5762429729042884E-2</c:v>
                </c:pt>
                <c:pt idx="4">
                  <c:v>2.2923720987502616E-2</c:v>
                </c:pt>
              </c:numCache>
            </c:numRef>
          </c:val>
          <c:extLst>
            <c:ext xmlns:c16="http://schemas.microsoft.com/office/drawing/2014/chart" uri="{C3380CC4-5D6E-409C-BE32-E72D297353CC}">
              <c16:uniqueId val="{00000000-3847-4986-8373-DD0E19E8F0E7}"/>
            </c:ext>
          </c:extLst>
        </c:ser>
        <c:ser>
          <c:idx val="1"/>
          <c:order val="1"/>
          <c:tx>
            <c:strRef>
              <c:f>'Sitios v Opsimex'!$A$73</c:f>
              <c:strCache>
                <c:ptCount val="1"/>
                <c:pt idx="0">
                  <c:v>Sitios</c:v>
                </c:pt>
              </c:strCache>
            </c:strRef>
          </c:tx>
          <c:spPr>
            <a:solidFill>
              <a:srgbClr val="79909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4D4D4D"/>
                    </a:solidFill>
                    <a:latin typeface="Roboto" pitchFamily="2" charset="0"/>
                    <a:ea typeface="Roboto" pitchFamily="2"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Opsimex'!$B$71:$F$71</c:f>
              <c:strCache>
                <c:ptCount val="5"/>
                <c:pt idx="0">
                  <c:v>Q1 22</c:v>
                </c:pt>
                <c:pt idx="1">
                  <c:v>Q2 22</c:v>
                </c:pt>
                <c:pt idx="2">
                  <c:v>Q3 22</c:v>
                </c:pt>
                <c:pt idx="3">
                  <c:v>Q4 22</c:v>
                </c:pt>
                <c:pt idx="4">
                  <c:v>Q1 23</c:v>
                </c:pt>
              </c:strCache>
            </c:strRef>
          </c:cat>
          <c:val>
            <c:numRef>
              <c:f>'Sitios v Opsimex'!$B$73:$F$73</c:f>
              <c:numCache>
                <c:formatCode>General</c:formatCode>
                <c:ptCount val="5"/>
                <c:pt idx="3" formatCode="0%">
                  <c:v>-4.4679399373671047E-2</c:v>
                </c:pt>
                <c:pt idx="4" formatCode="0%">
                  <c:v>3.1974669061090033E-3</c:v>
                </c:pt>
              </c:numCache>
            </c:numRef>
          </c:val>
          <c:extLst>
            <c:ext xmlns:c16="http://schemas.microsoft.com/office/drawing/2014/chart" uri="{C3380CC4-5D6E-409C-BE32-E72D297353CC}">
              <c16:uniqueId val="{00000002-3847-4986-8373-DD0E19E8F0E7}"/>
            </c:ext>
          </c:extLst>
        </c:ser>
        <c:dLbls>
          <c:dLblPos val="inEnd"/>
          <c:showLegendKey val="0"/>
          <c:showVal val="1"/>
          <c:showCatName val="0"/>
          <c:showSerName val="0"/>
          <c:showPercent val="0"/>
          <c:showBubbleSize val="0"/>
        </c:dLbls>
        <c:gapWidth val="200"/>
        <c:overlap val="-30"/>
        <c:axId val="1495160607"/>
        <c:axId val="1495161855"/>
      </c:barChart>
      <c:catAx>
        <c:axId val="149516060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crossAx val="1495161855"/>
        <c:crosses val="autoZero"/>
        <c:auto val="1"/>
        <c:lblAlgn val="ctr"/>
        <c:lblOffset val="100"/>
        <c:noMultiLvlLbl val="0"/>
      </c:catAx>
      <c:valAx>
        <c:axId val="1495161855"/>
        <c:scaling>
          <c:orientation val="minMax"/>
        </c:scaling>
        <c:delete val="1"/>
        <c:axPos val="l"/>
        <c:numFmt formatCode="0%" sourceLinked="1"/>
        <c:majorTickMark val="none"/>
        <c:minorTickMark val="none"/>
        <c:tickLblPos val="nextTo"/>
        <c:crossAx val="1495160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5627734033246"/>
          <c:y val="4.6712962962962977E-2"/>
          <c:w val="0.47787467191601052"/>
          <c:h val="0.7964577865266842"/>
        </c:manualLayout>
      </c:layout>
      <c:pieChart>
        <c:varyColors val="1"/>
        <c:ser>
          <c:idx val="0"/>
          <c:order val="0"/>
          <c:dPt>
            <c:idx val="0"/>
            <c:bubble3D val="0"/>
            <c:spPr>
              <a:solidFill>
                <a:srgbClr val="263238"/>
              </a:solidFill>
              <a:ln w="25400">
                <a:noFill/>
              </a:ln>
              <a:effectLst/>
            </c:spPr>
            <c:extLst>
              <c:ext xmlns:c16="http://schemas.microsoft.com/office/drawing/2014/chart" uri="{C3380CC4-5D6E-409C-BE32-E72D297353CC}">
                <c16:uniqueId val="{00000001-4A8B-42D6-AAE4-00CEB00E9417}"/>
              </c:ext>
            </c:extLst>
          </c:dPt>
          <c:dPt>
            <c:idx val="1"/>
            <c:bubble3D val="0"/>
            <c:spPr>
              <a:solidFill>
                <a:srgbClr val="799098"/>
              </a:solidFill>
              <a:ln w="25400">
                <a:noFill/>
              </a:ln>
              <a:effectLst/>
            </c:spPr>
            <c:extLst>
              <c:ext xmlns:c16="http://schemas.microsoft.com/office/drawing/2014/chart" uri="{C3380CC4-5D6E-409C-BE32-E72D297353CC}">
                <c16:uniqueId val="{00000002-4A8B-42D6-AAE4-00CEB00E9417}"/>
              </c:ext>
            </c:extLst>
          </c:dPt>
          <c:dPt>
            <c:idx val="2"/>
            <c:bubble3D val="0"/>
            <c:spPr>
              <a:solidFill>
                <a:srgbClr val="F9663E"/>
              </a:solidFill>
              <a:ln w="25400">
                <a:noFill/>
              </a:ln>
              <a:effectLst/>
            </c:spPr>
            <c:extLst>
              <c:ext xmlns:c16="http://schemas.microsoft.com/office/drawing/2014/chart" uri="{C3380CC4-5D6E-409C-BE32-E72D297353CC}">
                <c16:uniqueId val="{00000003-4A8B-42D6-AAE4-00CEB00E9417}"/>
              </c:ext>
            </c:extLst>
          </c:dPt>
          <c:dPt>
            <c:idx val="3"/>
            <c:bubble3D val="0"/>
            <c:spPr>
              <a:solidFill>
                <a:srgbClr val="C7FE02"/>
              </a:solidFill>
              <a:ln w="25400">
                <a:noFill/>
              </a:ln>
              <a:effectLst/>
            </c:spPr>
            <c:extLst>
              <c:ext xmlns:c16="http://schemas.microsoft.com/office/drawing/2014/chart" uri="{C3380CC4-5D6E-409C-BE32-E72D297353CC}">
                <c16:uniqueId val="{00000004-4A8B-42D6-AAE4-00CEB00E9417}"/>
              </c:ext>
            </c:extLst>
          </c:dPt>
          <c:dPt>
            <c:idx val="4"/>
            <c:bubble3D val="0"/>
            <c:spPr>
              <a:solidFill>
                <a:srgbClr val="00C994"/>
              </a:solidFill>
              <a:ln w="25400">
                <a:noFill/>
              </a:ln>
              <a:effectLst/>
            </c:spPr>
            <c:extLst>
              <c:ext xmlns:c16="http://schemas.microsoft.com/office/drawing/2014/chart" uri="{C3380CC4-5D6E-409C-BE32-E72D297353CC}">
                <c16:uniqueId val="{00000005-4A8B-42D6-AAE4-00CEB00E9417}"/>
              </c:ext>
            </c:extLst>
          </c:dPt>
          <c:dPt>
            <c:idx val="5"/>
            <c:bubble3D val="0"/>
            <c:spPr>
              <a:solidFill>
                <a:srgbClr val="465A63"/>
              </a:solidFill>
              <a:ln w="25400">
                <a:noFill/>
              </a:ln>
              <a:effectLst/>
            </c:spPr>
            <c:extLst>
              <c:ext xmlns:c16="http://schemas.microsoft.com/office/drawing/2014/chart" uri="{C3380CC4-5D6E-409C-BE32-E72D297353CC}">
                <c16:uniqueId val="{00000006-4A8B-42D6-AAE4-00CEB00E9417}"/>
              </c:ext>
            </c:extLst>
          </c:dPt>
          <c:dPt>
            <c:idx val="6"/>
            <c:bubble3D val="0"/>
            <c:spPr>
              <a:solidFill>
                <a:srgbClr val="B0BEC5"/>
              </a:solidFill>
              <a:ln w="25400">
                <a:noFill/>
              </a:ln>
              <a:effectLst/>
            </c:spPr>
            <c:extLst>
              <c:ext xmlns:c16="http://schemas.microsoft.com/office/drawing/2014/chart" uri="{C3380CC4-5D6E-409C-BE32-E72D297353CC}">
                <c16:uniqueId val="{00000007-4A8B-42D6-AAE4-00CEB00E9417}"/>
              </c:ext>
            </c:extLst>
          </c:dPt>
          <c:dPt>
            <c:idx val="7"/>
            <c:bubble3D val="0"/>
            <c:spPr>
              <a:solidFill>
                <a:srgbClr val="F19375"/>
              </a:solidFill>
              <a:ln w="25400">
                <a:noFill/>
              </a:ln>
              <a:effectLst/>
            </c:spPr>
            <c:extLst>
              <c:ext xmlns:c16="http://schemas.microsoft.com/office/drawing/2014/chart" uri="{C3380CC4-5D6E-409C-BE32-E72D297353CC}">
                <c16:uniqueId val="{00000008-4A8B-42D6-AAE4-00CEB00E9417}"/>
              </c:ext>
            </c:extLst>
          </c:dPt>
          <c:dLbls>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showLegendKey val="0"/>
              <c:showVal val="1"/>
              <c:showCatName val="0"/>
              <c:showSerName val="0"/>
              <c:showPercent val="0"/>
              <c:showBubbleSize val="0"/>
              <c:extLst>
                <c:ext xmlns:c16="http://schemas.microsoft.com/office/drawing/2014/chart" uri="{C3380CC4-5D6E-409C-BE32-E72D297353CC}">
                  <c16:uniqueId val="{00000001-4A8B-42D6-AAE4-00CEB00E9417}"/>
                </c:ext>
              </c:extLst>
            </c:dLbl>
            <c:dLbl>
              <c:idx val="1"/>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showLegendKey val="0"/>
              <c:showVal val="1"/>
              <c:showCatName val="0"/>
              <c:showSerName val="0"/>
              <c:showPercent val="0"/>
              <c:showBubbleSize val="0"/>
              <c:extLst>
                <c:ext xmlns:c16="http://schemas.microsoft.com/office/drawing/2014/chart" uri="{C3380CC4-5D6E-409C-BE32-E72D297353CC}">
                  <c16:uniqueId val="{00000002-4A8B-42D6-AAE4-00CEB00E9417}"/>
                </c:ext>
              </c:extLst>
            </c:dLbl>
            <c:dLbl>
              <c:idx val="5"/>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showLegendKey val="0"/>
              <c:showVal val="1"/>
              <c:showCatName val="0"/>
              <c:showSerName val="0"/>
              <c:showPercent val="0"/>
              <c:showBubbleSize val="0"/>
              <c:extLst>
                <c:ext xmlns:c16="http://schemas.microsoft.com/office/drawing/2014/chart" uri="{C3380CC4-5D6E-409C-BE32-E72D297353CC}">
                  <c16:uniqueId val="{00000006-4A8B-42D6-AAE4-00CEB00E941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Master!$A$87:$A$94</c:f>
              <c:strCache>
                <c:ptCount val="8"/>
                <c:pt idx="0">
                  <c:v>Sitios</c:v>
                </c:pt>
                <c:pt idx="1">
                  <c:v>AMT</c:v>
                </c:pt>
                <c:pt idx="2">
                  <c:v>SBA</c:v>
                </c:pt>
                <c:pt idx="3">
                  <c:v>GTS</c:v>
                </c:pt>
                <c:pt idx="4">
                  <c:v>IHS</c:v>
                </c:pt>
                <c:pt idx="5">
                  <c:v>Highline</c:v>
                </c:pt>
                <c:pt idx="6">
                  <c:v>QMC</c:v>
                </c:pt>
                <c:pt idx="7">
                  <c:v>Other</c:v>
                </c:pt>
              </c:strCache>
            </c:strRef>
          </c:cat>
          <c:val>
            <c:numRef>
              <c:f>Master!$G$87:$G$94</c:f>
              <c:numCache>
                <c:formatCode>0%</c:formatCode>
                <c:ptCount val="8"/>
                <c:pt idx="0">
                  <c:v>0.16718037710463771</c:v>
                </c:pt>
                <c:pt idx="1">
                  <c:v>0.34379655578359575</c:v>
                </c:pt>
                <c:pt idx="2">
                  <c:v>0.14699907279110713</c:v>
                </c:pt>
                <c:pt idx="3">
                  <c:v>9.6739290588457677E-2</c:v>
                </c:pt>
                <c:pt idx="4">
                  <c:v>6.4740909855352441E-2</c:v>
                </c:pt>
                <c:pt idx="5">
                  <c:v>4.9113793683370821E-2</c:v>
                </c:pt>
                <c:pt idx="6">
                  <c:v>3.7207419457099107E-2</c:v>
                </c:pt>
                <c:pt idx="7">
                  <c:v>9.4222580736379402E-2</c:v>
                </c:pt>
              </c:numCache>
            </c:numRef>
          </c:val>
          <c:extLst>
            <c:ext xmlns:c16="http://schemas.microsoft.com/office/drawing/2014/chart" uri="{C3380CC4-5D6E-409C-BE32-E72D297353CC}">
              <c16:uniqueId val="{00000000-4A8B-42D6-AAE4-00CEB00E9417}"/>
            </c:ext>
          </c:extLst>
        </c:ser>
        <c:dLbls>
          <c:showLegendKey val="0"/>
          <c:showVal val="0"/>
          <c:showCatName val="0"/>
          <c:showSerName val="0"/>
          <c:showPercent val="0"/>
          <c:showBubbleSize val="0"/>
          <c:showLeaderLines val="1"/>
        </c:dLbls>
        <c:firstSliceAng val="0"/>
      </c:pieChart>
      <c:spPr>
        <a:noFill/>
        <a:ln w="25400">
          <a:noFill/>
        </a:ln>
        <a:effectLst/>
      </c:spPr>
    </c:plotArea>
    <c:legend>
      <c:legendPos val="b"/>
      <c:overlay val="0"/>
      <c:spPr>
        <a:noFill/>
        <a:ln w="25400">
          <a:noFill/>
        </a:ln>
        <a:effectLst/>
      </c:spPr>
      <c:txPr>
        <a:bodyPr rot="0" spcFirstLastPara="1" vertOverflow="ellipsis" vert="horz" wrap="square" anchor="ctr" anchorCtr="1"/>
        <a:lstStyle/>
        <a:p>
          <a:pPr rtl="0">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'Sitios v Opsimex'!$A$97</c:f>
              <c:strCache>
                <c:ptCount val="1"/>
                <c:pt idx="0">
                  <c:v>Opsimex</c:v>
                </c:pt>
              </c:strCache>
            </c:strRef>
          </c:tx>
          <c:spPr>
            <a:solidFill>
              <a:srgbClr val="26323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Roboto" pitchFamily="2" charset="0"/>
                    <a:ea typeface="Roboto" pitchFamily="2"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Opsimex'!$B$96:$K$96</c:f>
              <c:strCache>
                <c:ptCount val="10"/>
                <c:pt idx="0">
                  <c:v>Q4 20</c:v>
                </c:pt>
                <c:pt idx="1">
                  <c:v>Q1 21</c:v>
                </c:pt>
                <c:pt idx="2">
                  <c:v>Q2 21</c:v>
                </c:pt>
                <c:pt idx="3">
                  <c:v>Q3 21</c:v>
                </c:pt>
                <c:pt idx="4">
                  <c:v>Q4 21</c:v>
                </c:pt>
                <c:pt idx="5">
                  <c:v>Q1 22</c:v>
                </c:pt>
                <c:pt idx="6">
                  <c:v>Q2 22</c:v>
                </c:pt>
                <c:pt idx="7">
                  <c:v>Q3 22</c:v>
                </c:pt>
                <c:pt idx="8">
                  <c:v>Q4 22</c:v>
                </c:pt>
                <c:pt idx="9">
                  <c:v>Q1 23</c:v>
                </c:pt>
              </c:strCache>
            </c:strRef>
          </c:cat>
          <c:val>
            <c:numRef>
              <c:f>'Sitios v Opsimex'!$B$97:$K$97</c:f>
              <c:numCache>
                <c:formatCode>0.0%</c:formatCode>
                <c:ptCount val="10"/>
                <c:pt idx="0">
                  <c:v>8.3637790860667138E-2</c:v>
                </c:pt>
                <c:pt idx="1">
                  <c:v>5.8050499430357894E-2</c:v>
                </c:pt>
                <c:pt idx="2">
                  <c:v>6.1686266274674439E-2</c:v>
                </c:pt>
                <c:pt idx="3">
                  <c:v>5.5964578077537075E-2</c:v>
                </c:pt>
                <c:pt idx="4">
                  <c:v>0.11224483460170087</c:v>
                </c:pt>
                <c:pt idx="5">
                  <c:v>0.21475434466870325</c:v>
                </c:pt>
                <c:pt idx="6">
                  <c:v>0.23122187608168931</c:v>
                </c:pt>
                <c:pt idx="7">
                  <c:v>0.23427596294490494</c:v>
                </c:pt>
                <c:pt idx="8">
                  <c:v>0.21790100483810937</c:v>
                </c:pt>
                <c:pt idx="9">
                  <c:v>0.11189445475159765</c:v>
                </c:pt>
              </c:numCache>
            </c:numRef>
          </c:val>
          <c:extLst>
            <c:ext xmlns:c16="http://schemas.microsoft.com/office/drawing/2014/chart" uri="{C3380CC4-5D6E-409C-BE32-E72D297353CC}">
              <c16:uniqueId val="{00000000-3AC6-476A-8876-8B65B738C694}"/>
            </c:ext>
          </c:extLst>
        </c:ser>
        <c:dLbls>
          <c:showLegendKey val="0"/>
          <c:showVal val="0"/>
          <c:showCatName val="0"/>
          <c:showSerName val="0"/>
          <c:showPercent val="0"/>
          <c:showBubbleSize val="0"/>
        </c:dLbls>
        <c:gapWidth val="30"/>
        <c:overlap val="100"/>
        <c:axId val="1495160607"/>
        <c:axId val="1495161855"/>
      </c:barChart>
      <c:catAx>
        <c:axId val="1495160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crossAx val="1495161855"/>
        <c:crosses val="autoZero"/>
        <c:auto val="1"/>
        <c:lblAlgn val="ctr"/>
        <c:lblOffset val="100"/>
        <c:noMultiLvlLbl val="0"/>
      </c:catAx>
      <c:valAx>
        <c:axId val="1495161855"/>
        <c:scaling>
          <c:orientation val="minMax"/>
        </c:scaling>
        <c:delete val="1"/>
        <c:axPos val="l"/>
        <c:numFmt formatCode="0.0%" sourceLinked="1"/>
        <c:majorTickMark val="none"/>
        <c:minorTickMark val="none"/>
        <c:tickLblPos val="nextTo"/>
        <c:crossAx val="1495160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'Sitios v Opsimex'!$A$122</c:f>
              <c:strCache>
                <c:ptCount val="1"/>
                <c:pt idx="0">
                  <c:v>Opsimex</c:v>
                </c:pt>
              </c:strCache>
            </c:strRef>
          </c:tx>
          <c:spPr>
            <a:solidFill>
              <a:srgbClr val="263238"/>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rgbClr val="4D4D4D"/>
                    </a:solidFill>
                    <a:latin typeface="Roboto" pitchFamily="2" charset="0"/>
                    <a:ea typeface="Roboto" pitchFamily="2"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Opsimex'!$F$121</c:f>
              <c:strCache>
                <c:ptCount val="1"/>
                <c:pt idx="0">
                  <c:v>Q1 23</c:v>
                </c:pt>
              </c:strCache>
            </c:strRef>
          </c:cat>
          <c:val>
            <c:numRef>
              <c:f>'Sitios v Opsimex'!$F$122</c:f>
              <c:numCache>
                <c:formatCode>0.0\x</c:formatCode>
                <c:ptCount val="1"/>
                <c:pt idx="0">
                  <c:v>5.8748762156542016</c:v>
                </c:pt>
              </c:numCache>
            </c:numRef>
          </c:val>
          <c:extLst>
            <c:ext xmlns:c16="http://schemas.microsoft.com/office/drawing/2014/chart" uri="{C3380CC4-5D6E-409C-BE32-E72D297353CC}">
              <c16:uniqueId val="{00000000-3847-4986-8373-DD0E19E8F0E7}"/>
            </c:ext>
          </c:extLst>
        </c:ser>
        <c:ser>
          <c:idx val="1"/>
          <c:order val="1"/>
          <c:tx>
            <c:strRef>
              <c:f>'Sitios v Opsimex'!$A$123</c:f>
              <c:strCache>
                <c:ptCount val="1"/>
                <c:pt idx="0">
                  <c:v>Sitios</c:v>
                </c:pt>
              </c:strCache>
            </c:strRef>
          </c:tx>
          <c:spPr>
            <a:solidFill>
              <a:srgbClr val="79909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4D4D4D"/>
                    </a:solidFill>
                    <a:latin typeface="Roboto" pitchFamily="2" charset="0"/>
                    <a:ea typeface="Roboto" pitchFamily="2"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Opsimex'!$F$121</c:f>
              <c:strCache>
                <c:ptCount val="1"/>
                <c:pt idx="0">
                  <c:v>Q1 23</c:v>
                </c:pt>
              </c:strCache>
            </c:strRef>
          </c:cat>
          <c:val>
            <c:numRef>
              <c:f>'Sitios v Opsimex'!$F$123</c:f>
              <c:numCache>
                <c:formatCode>0.0\x</c:formatCode>
                <c:ptCount val="1"/>
                <c:pt idx="0">
                  <c:v>7.81</c:v>
                </c:pt>
              </c:numCache>
            </c:numRef>
          </c:val>
          <c:extLst>
            <c:ext xmlns:c16="http://schemas.microsoft.com/office/drawing/2014/chart" uri="{C3380CC4-5D6E-409C-BE32-E72D297353CC}">
              <c16:uniqueId val="{00000002-3847-4986-8373-DD0E19E8F0E7}"/>
            </c:ext>
          </c:extLst>
        </c:ser>
        <c:dLbls>
          <c:dLblPos val="inEnd"/>
          <c:showLegendKey val="0"/>
          <c:showVal val="1"/>
          <c:showCatName val="0"/>
          <c:showSerName val="0"/>
          <c:showPercent val="0"/>
          <c:showBubbleSize val="0"/>
        </c:dLbls>
        <c:gapWidth val="200"/>
        <c:overlap val="-30"/>
        <c:axId val="1495160607"/>
        <c:axId val="1495161855"/>
      </c:barChart>
      <c:catAx>
        <c:axId val="1495160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crossAx val="1495161855"/>
        <c:crosses val="autoZero"/>
        <c:auto val="1"/>
        <c:lblAlgn val="ctr"/>
        <c:lblOffset val="100"/>
        <c:noMultiLvlLbl val="0"/>
      </c:catAx>
      <c:valAx>
        <c:axId val="1495161855"/>
        <c:scaling>
          <c:orientation val="minMax"/>
        </c:scaling>
        <c:delete val="1"/>
        <c:axPos val="l"/>
        <c:numFmt formatCode="0.0\x" sourceLinked="1"/>
        <c:majorTickMark val="none"/>
        <c:minorTickMark val="none"/>
        <c:tickLblPos val="nextTo"/>
        <c:crossAx val="1495160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'Sitios v Opsimex'!$A$218</c:f>
              <c:strCache>
                <c:ptCount val="1"/>
                <c:pt idx="0">
                  <c:v>Opsimex</c:v>
                </c:pt>
              </c:strCache>
            </c:strRef>
          </c:tx>
          <c:spPr>
            <a:ln w="28575" cap="rnd">
              <a:solidFill>
                <a:srgbClr val="263238"/>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Roboto" pitchFamily="2" charset="0"/>
                    <a:ea typeface="Roboto" pitchFamily="2"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'Sitios v Opsimex'!$B$217:$F$217</c:f>
              <c:numCache>
                <c:formatCode>mmm\-yy</c:formatCode>
                <c:ptCount val="5"/>
                <c:pt idx="0">
                  <c:v>44927</c:v>
                </c:pt>
                <c:pt idx="1">
                  <c:v>44958</c:v>
                </c:pt>
                <c:pt idx="2">
                  <c:v>44986</c:v>
                </c:pt>
                <c:pt idx="3">
                  <c:v>45017</c:v>
                </c:pt>
                <c:pt idx="4">
                  <c:v>45047</c:v>
                </c:pt>
              </c:numCache>
            </c:numRef>
          </c:cat>
          <c:val>
            <c:numRef>
              <c:f>'Sitios v Opsimex'!$B$218:$F$218</c:f>
              <c:numCache>
                <c:formatCode>0.0</c:formatCode>
                <c:ptCount val="5"/>
                <c:pt idx="0">
                  <c:v>12.741451260218764</c:v>
                </c:pt>
                <c:pt idx="1">
                  <c:v>12.91668144292321</c:v>
                </c:pt>
                <c:pt idx="2">
                  <c:v>12.212008585789452</c:v>
                </c:pt>
                <c:pt idx="3">
                  <c:v>11.622761215869053</c:v>
                </c:pt>
                <c:pt idx="4">
                  <c:v>11.049193426284905</c:v>
                </c:pt>
              </c:numCache>
            </c:numRef>
          </c:val>
          <c:smooth val="0"/>
          <c:extLst>
            <c:ext xmlns:c16="http://schemas.microsoft.com/office/drawing/2014/chart" uri="{C3380CC4-5D6E-409C-BE32-E72D297353CC}">
              <c16:uniqueId val="{00000000-96AF-4D4E-A9CA-D5AA75EDF64E}"/>
            </c:ext>
          </c:extLst>
        </c:ser>
        <c:ser>
          <c:idx val="1"/>
          <c:order val="1"/>
          <c:tx>
            <c:strRef>
              <c:f>'Sitios v Opsimex'!$A$219</c:f>
              <c:strCache>
                <c:ptCount val="1"/>
                <c:pt idx="0">
                  <c:v>Sitios</c:v>
                </c:pt>
              </c:strCache>
            </c:strRef>
          </c:tx>
          <c:spPr>
            <a:ln w="28575" cap="rnd">
              <a:solidFill>
                <a:srgbClr val="799098"/>
              </a:solidFill>
              <a:prstDash val="solid"/>
              <a:round/>
            </a:ln>
            <a:effectLst/>
          </c:spPr>
          <c:marker>
            <c:symbol val="none"/>
          </c:marker>
          <c:dLbls>
            <c:dLbl>
              <c:idx val="0"/>
              <c:layout>
                <c:manualLayout>
                  <c:x val="-3.6498548887527488E-2"/>
                  <c:y val="3.8495724727931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EC-48F4-994F-D0F279A62C83}"/>
                </c:ext>
              </c:extLst>
            </c:dLbl>
            <c:dLbl>
              <c:idx val="1"/>
              <c:layout>
                <c:manualLayout>
                  <c:x val="-3.8594400277744814E-2"/>
                  <c:y val="3.094754340872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EC-48F4-994F-D0F279A62C83}"/>
                </c:ext>
              </c:extLst>
            </c:dLbl>
            <c:dLbl>
              <c:idx val="2"/>
              <c:layout>
                <c:manualLayout>
                  <c:x val="-3.8594400277744897E-2"/>
                  <c:y val="3.84957247279311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EC-48F4-994F-D0F279A62C83}"/>
                </c:ext>
              </c:extLst>
            </c:dLbl>
            <c:dLbl>
              <c:idx val="3"/>
              <c:layout>
                <c:manualLayout>
                  <c:x val="-3.8594400277744897E-2"/>
                  <c:y val="3.84957247279311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EC-48F4-994F-D0F279A62C83}"/>
                </c:ext>
              </c:extLst>
            </c:dLbl>
            <c:dLbl>
              <c:idx val="4"/>
              <c:layout>
                <c:manualLayout>
                  <c:x val="-4.0980340813808885E-2"/>
                  <c:y val="2.33993620895267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EC-48F4-994F-D0F279A62C8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4D4D4D"/>
                    </a:solidFill>
                    <a:latin typeface="Roboto" pitchFamily="2" charset="0"/>
                    <a:ea typeface="Roboto" pitchFamily="2"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'Sitios v Opsimex'!$B$217:$F$217</c:f>
              <c:numCache>
                <c:formatCode>mmm\-yy</c:formatCode>
                <c:ptCount val="5"/>
                <c:pt idx="0">
                  <c:v>44927</c:v>
                </c:pt>
                <c:pt idx="1">
                  <c:v>44958</c:v>
                </c:pt>
                <c:pt idx="2">
                  <c:v>44986</c:v>
                </c:pt>
                <c:pt idx="3">
                  <c:v>45017</c:v>
                </c:pt>
                <c:pt idx="4">
                  <c:v>45047</c:v>
                </c:pt>
              </c:numCache>
            </c:numRef>
          </c:cat>
          <c:val>
            <c:numRef>
              <c:f>'Sitios v Opsimex'!$B$219:$F$219</c:f>
              <c:numCache>
                <c:formatCode>0.0</c:formatCode>
                <c:ptCount val="5"/>
                <c:pt idx="0">
                  <c:v>12.209680515727761</c:v>
                </c:pt>
                <c:pt idx="1">
                  <c:v>11.408896953338319</c:v>
                </c:pt>
                <c:pt idx="2">
                  <c:v>10.906091584031667</c:v>
                </c:pt>
                <c:pt idx="3">
                  <c:v>10.711030128717429</c:v>
                </c:pt>
                <c:pt idx="4">
                  <c:v>10.653301563521987</c:v>
                </c:pt>
              </c:numCache>
            </c:numRef>
          </c:val>
          <c:smooth val="0"/>
          <c:extLst>
            <c:ext xmlns:c16="http://schemas.microsoft.com/office/drawing/2014/chart" uri="{C3380CC4-5D6E-409C-BE32-E72D297353CC}">
              <c16:uniqueId val="{00000001-96AF-4D4E-A9CA-D5AA75EDF64E}"/>
            </c:ext>
          </c:extLst>
        </c:ser>
        <c:dLbls>
          <c:showLegendKey val="0"/>
          <c:showVal val="1"/>
          <c:showCatName val="0"/>
          <c:showSerName val="0"/>
          <c:showPercent val="0"/>
          <c:showBubbleSize val="0"/>
        </c:dLbls>
        <c:smooth val="0"/>
        <c:axId val="1495160607"/>
        <c:axId val="1495161855"/>
      </c:lineChart>
      <c:dateAx>
        <c:axId val="1495160607"/>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crossAx val="1495161855"/>
        <c:crosses val="autoZero"/>
        <c:auto val="1"/>
        <c:lblOffset val="100"/>
        <c:baseTimeUnit val="months"/>
      </c:dateAx>
      <c:valAx>
        <c:axId val="1495161855"/>
        <c:scaling>
          <c:orientation val="minMax"/>
        </c:scaling>
        <c:delete val="1"/>
        <c:axPos val="l"/>
        <c:numFmt formatCode="0.0" sourceLinked="1"/>
        <c:majorTickMark val="none"/>
        <c:minorTickMark val="none"/>
        <c:tickLblPos val="nextTo"/>
        <c:crossAx val="1495160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'Sitios v Opsimex'!$A$218</c:f>
              <c:strCache>
                <c:ptCount val="1"/>
                <c:pt idx="0">
                  <c:v>Opsimex</c:v>
                </c:pt>
              </c:strCache>
            </c:strRef>
          </c:tx>
          <c:spPr>
            <a:ln w="28575" cap="rnd">
              <a:solidFill>
                <a:srgbClr val="263238"/>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Roboto" pitchFamily="2" charset="0"/>
                    <a:ea typeface="Roboto" pitchFamily="2"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'Sitios v Opsimex'!$B$217:$F$217</c:f>
              <c:numCache>
                <c:formatCode>mmm\-yy</c:formatCode>
                <c:ptCount val="5"/>
                <c:pt idx="0">
                  <c:v>44927</c:v>
                </c:pt>
                <c:pt idx="1">
                  <c:v>44958</c:v>
                </c:pt>
                <c:pt idx="2">
                  <c:v>44986</c:v>
                </c:pt>
                <c:pt idx="3">
                  <c:v>45017</c:v>
                </c:pt>
                <c:pt idx="4">
                  <c:v>45047</c:v>
                </c:pt>
              </c:numCache>
            </c:numRef>
          </c:cat>
          <c:val>
            <c:numRef>
              <c:f>'Sitios v Opsimex'!$B$218:$F$218</c:f>
              <c:numCache>
                <c:formatCode>0.0</c:formatCode>
                <c:ptCount val="5"/>
                <c:pt idx="0">
                  <c:v>12.741451260218764</c:v>
                </c:pt>
                <c:pt idx="1">
                  <c:v>12.91668144292321</c:v>
                </c:pt>
                <c:pt idx="2">
                  <c:v>12.212008585789452</c:v>
                </c:pt>
                <c:pt idx="3">
                  <c:v>11.622761215869053</c:v>
                </c:pt>
                <c:pt idx="4">
                  <c:v>11.049193426284905</c:v>
                </c:pt>
              </c:numCache>
            </c:numRef>
          </c:val>
          <c:smooth val="0"/>
          <c:extLst>
            <c:ext xmlns:c16="http://schemas.microsoft.com/office/drawing/2014/chart" uri="{C3380CC4-5D6E-409C-BE32-E72D297353CC}">
              <c16:uniqueId val="{00000000-96AF-4D4E-A9CA-D5AA75EDF64E}"/>
            </c:ext>
          </c:extLst>
        </c:ser>
        <c:ser>
          <c:idx val="1"/>
          <c:order val="1"/>
          <c:tx>
            <c:strRef>
              <c:f>'Sitios v Opsimex'!$A$219</c:f>
              <c:strCache>
                <c:ptCount val="1"/>
                <c:pt idx="0">
                  <c:v>Sitios</c:v>
                </c:pt>
              </c:strCache>
            </c:strRef>
          </c:tx>
          <c:spPr>
            <a:ln w="28575" cap="rnd">
              <a:solidFill>
                <a:srgbClr val="799098"/>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4D4D4D"/>
                    </a:solidFill>
                    <a:latin typeface="Roboto" pitchFamily="2" charset="0"/>
                    <a:ea typeface="Roboto" pitchFamily="2"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'Sitios v Opsimex'!$B$217:$F$217</c:f>
              <c:numCache>
                <c:formatCode>mmm\-yy</c:formatCode>
                <c:ptCount val="5"/>
                <c:pt idx="0">
                  <c:v>44927</c:v>
                </c:pt>
                <c:pt idx="1">
                  <c:v>44958</c:v>
                </c:pt>
                <c:pt idx="2">
                  <c:v>44986</c:v>
                </c:pt>
                <c:pt idx="3">
                  <c:v>45017</c:v>
                </c:pt>
                <c:pt idx="4">
                  <c:v>45047</c:v>
                </c:pt>
              </c:numCache>
            </c:numRef>
          </c:cat>
          <c:val>
            <c:numRef>
              <c:f>'Sitios v Opsimex'!$B$219:$F$219</c:f>
              <c:numCache>
                <c:formatCode>0.0</c:formatCode>
                <c:ptCount val="5"/>
                <c:pt idx="0">
                  <c:v>12.209680515727761</c:v>
                </c:pt>
                <c:pt idx="1">
                  <c:v>11.408896953338319</c:v>
                </c:pt>
                <c:pt idx="2">
                  <c:v>10.906091584031667</c:v>
                </c:pt>
                <c:pt idx="3">
                  <c:v>10.711030128717429</c:v>
                </c:pt>
                <c:pt idx="4">
                  <c:v>10.653301563521987</c:v>
                </c:pt>
              </c:numCache>
            </c:numRef>
          </c:val>
          <c:smooth val="0"/>
          <c:extLst>
            <c:ext xmlns:c16="http://schemas.microsoft.com/office/drawing/2014/chart" uri="{C3380CC4-5D6E-409C-BE32-E72D297353CC}">
              <c16:uniqueId val="{00000001-96AF-4D4E-A9CA-D5AA75EDF64E}"/>
            </c:ext>
          </c:extLst>
        </c:ser>
        <c:dLbls>
          <c:showLegendKey val="0"/>
          <c:showVal val="1"/>
          <c:showCatName val="0"/>
          <c:showSerName val="0"/>
          <c:showPercent val="0"/>
          <c:showBubbleSize val="0"/>
        </c:dLbls>
        <c:smooth val="0"/>
        <c:axId val="1495160607"/>
        <c:axId val="1495161855"/>
      </c:lineChart>
      <c:dateAx>
        <c:axId val="1495160607"/>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crossAx val="1495161855"/>
        <c:crosses val="autoZero"/>
        <c:auto val="1"/>
        <c:lblOffset val="100"/>
        <c:baseTimeUnit val="months"/>
      </c:dateAx>
      <c:valAx>
        <c:axId val="1495161855"/>
        <c:scaling>
          <c:orientation val="minMax"/>
        </c:scaling>
        <c:delete val="1"/>
        <c:axPos val="l"/>
        <c:numFmt formatCode="0.0" sourceLinked="1"/>
        <c:majorTickMark val="none"/>
        <c:minorTickMark val="none"/>
        <c:tickLblPos val="nextTo"/>
        <c:crossAx val="1495160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'Sitios v Opsimex'!$A$261</c:f>
              <c:strCache>
                <c:ptCount val="1"/>
                <c:pt idx="0">
                  <c:v>Opsimex</c:v>
                </c:pt>
              </c:strCache>
            </c:strRef>
          </c:tx>
          <c:spPr>
            <a:solidFill>
              <a:srgbClr val="263238"/>
            </a:solidFill>
            <a:ln>
              <a:noFill/>
            </a:ln>
            <a:effectLst/>
          </c:spPr>
          <c:invertIfNegative val="0"/>
          <c:cat>
            <c:strRef>
              <c:f>'Sitios v Opsimex'!$B$260:$J$260</c:f>
              <c:strCache>
                <c:ptCount val="9"/>
                <c:pt idx="0">
                  <c:v>Q1 21</c:v>
                </c:pt>
                <c:pt idx="1">
                  <c:v>Q2 21</c:v>
                </c:pt>
                <c:pt idx="2">
                  <c:v>Q3 21</c:v>
                </c:pt>
                <c:pt idx="3">
                  <c:v>Q4 21</c:v>
                </c:pt>
                <c:pt idx="4">
                  <c:v>Q1 22</c:v>
                </c:pt>
                <c:pt idx="5">
                  <c:v>Q2 22</c:v>
                </c:pt>
                <c:pt idx="6">
                  <c:v>Q3 22</c:v>
                </c:pt>
                <c:pt idx="7">
                  <c:v>Q4 22</c:v>
                </c:pt>
                <c:pt idx="8">
                  <c:v>Q1 23</c:v>
                </c:pt>
              </c:strCache>
            </c:strRef>
          </c:cat>
          <c:val>
            <c:numRef>
              <c:f>'Sitios v Opsimex'!$B$261:$J$261</c:f>
              <c:numCache>
                <c:formatCode>#,##0</c:formatCode>
                <c:ptCount val="9"/>
                <c:pt idx="0">
                  <c:v>22838.628826433149</c:v>
                </c:pt>
                <c:pt idx="1">
                  <c:v>22889.609163096779</c:v>
                </c:pt>
                <c:pt idx="2">
                  <c:v>22606.041841744434</c:v>
                </c:pt>
                <c:pt idx="3">
                  <c:v>22438.678458201233</c:v>
                </c:pt>
                <c:pt idx="4">
                  <c:v>24213.419819249706</c:v>
                </c:pt>
                <c:pt idx="5">
                  <c:v>24232.413525068016</c:v>
                </c:pt>
                <c:pt idx="6">
                  <c:v>24174.399989795202</c:v>
                </c:pt>
                <c:pt idx="7">
                  <c:v>24282.052234647246</c:v>
                </c:pt>
                <c:pt idx="8">
                  <c:v>24458.466299197371</c:v>
                </c:pt>
              </c:numCache>
            </c:numRef>
          </c:val>
          <c:extLst>
            <c:ext xmlns:c16="http://schemas.microsoft.com/office/drawing/2014/chart" uri="{C3380CC4-5D6E-409C-BE32-E72D297353CC}">
              <c16:uniqueId val="{00000000-3847-4986-8373-DD0E19E8F0E7}"/>
            </c:ext>
          </c:extLst>
        </c:ser>
        <c:ser>
          <c:idx val="1"/>
          <c:order val="1"/>
          <c:tx>
            <c:strRef>
              <c:f>'Sitios v Opsimex'!$A$262</c:f>
              <c:strCache>
                <c:ptCount val="1"/>
                <c:pt idx="0">
                  <c:v>Sitios</c:v>
                </c:pt>
              </c:strCache>
            </c:strRef>
          </c:tx>
          <c:spPr>
            <a:solidFill>
              <a:srgbClr val="799098"/>
            </a:solidFill>
            <a:ln>
              <a:noFill/>
            </a:ln>
            <a:effectLst/>
          </c:spPr>
          <c:invertIfNegative val="0"/>
          <c:cat>
            <c:strRef>
              <c:f>'Sitios v Opsimex'!$B$260:$J$260</c:f>
              <c:strCache>
                <c:ptCount val="9"/>
                <c:pt idx="0">
                  <c:v>Q1 21</c:v>
                </c:pt>
                <c:pt idx="1">
                  <c:v>Q2 21</c:v>
                </c:pt>
                <c:pt idx="2">
                  <c:v>Q3 21</c:v>
                </c:pt>
                <c:pt idx="3">
                  <c:v>Q4 21</c:v>
                </c:pt>
                <c:pt idx="4">
                  <c:v>Q1 22</c:v>
                </c:pt>
                <c:pt idx="5">
                  <c:v>Q2 22</c:v>
                </c:pt>
                <c:pt idx="6">
                  <c:v>Q3 22</c:v>
                </c:pt>
                <c:pt idx="7">
                  <c:v>Q4 22</c:v>
                </c:pt>
                <c:pt idx="8">
                  <c:v>Q1 23</c:v>
                </c:pt>
              </c:strCache>
            </c:strRef>
          </c:cat>
          <c:val>
            <c:numRef>
              <c:f>'Sitios v Opsimex'!$B$262:$J$262</c:f>
              <c:numCache>
                <c:formatCode>General</c:formatCode>
                <c:ptCount val="9"/>
                <c:pt idx="7" formatCode="#,##0">
                  <c:v>21532.642780324899</c:v>
                </c:pt>
                <c:pt idx="8" formatCode="#,##0">
                  <c:v>19889.280474497336</c:v>
                </c:pt>
              </c:numCache>
            </c:numRef>
          </c:val>
          <c:extLst>
            <c:ext xmlns:c16="http://schemas.microsoft.com/office/drawing/2014/chart" uri="{C3380CC4-5D6E-409C-BE32-E72D297353CC}">
              <c16:uniqueId val="{00000002-3847-4986-8373-DD0E19E8F0E7}"/>
            </c:ext>
          </c:extLst>
        </c:ser>
        <c:dLbls>
          <c:showLegendKey val="0"/>
          <c:showVal val="0"/>
          <c:showCatName val="0"/>
          <c:showSerName val="0"/>
          <c:showPercent val="0"/>
          <c:showBubbleSize val="0"/>
        </c:dLbls>
        <c:gapWidth val="75"/>
        <c:overlap val="-25"/>
        <c:axId val="1495160607"/>
        <c:axId val="1495161855"/>
      </c:barChart>
      <c:catAx>
        <c:axId val="1495160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crossAx val="1495161855"/>
        <c:crosses val="autoZero"/>
        <c:auto val="1"/>
        <c:lblAlgn val="ctr"/>
        <c:lblOffset val="100"/>
        <c:noMultiLvlLbl val="0"/>
      </c:catAx>
      <c:valAx>
        <c:axId val="14951618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5160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'Sitios v Opsimex'!$A$269</c:f>
              <c:strCache>
                <c:ptCount val="1"/>
                <c:pt idx="0">
                  <c:v>Opsimex</c:v>
                </c:pt>
              </c:strCache>
            </c:strRef>
          </c:tx>
          <c:spPr>
            <a:ln w="28575" cap="rnd">
              <a:solidFill>
                <a:srgbClr val="263238"/>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Roboto" pitchFamily="2" charset="0"/>
                    <a:ea typeface="Roboto" pitchFamily="2"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Opsimex'!$B$268:$J$268</c:f>
              <c:strCache>
                <c:ptCount val="9"/>
                <c:pt idx="1">
                  <c:v>Q2 21</c:v>
                </c:pt>
                <c:pt idx="2">
                  <c:v>Q3 21</c:v>
                </c:pt>
                <c:pt idx="3">
                  <c:v>Q4 21</c:v>
                </c:pt>
                <c:pt idx="4">
                  <c:v>Q1 22</c:v>
                </c:pt>
                <c:pt idx="5">
                  <c:v>Q2 22</c:v>
                </c:pt>
                <c:pt idx="6">
                  <c:v>Q3 22</c:v>
                </c:pt>
                <c:pt idx="7">
                  <c:v>Q4 22</c:v>
                </c:pt>
                <c:pt idx="8">
                  <c:v>Q1 23</c:v>
                </c:pt>
              </c:strCache>
            </c:strRef>
          </c:cat>
          <c:val>
            <c:numRef>
              <c:f>'Sitios v Opsimex'!$B$269:$J$269</c:f>
              <c:numCache>
                <c:formatCode>0.0%</c:formatCode>
                <c:ptCount val="9"/>
                <c:pt idx="1">
                  <c:v>2.2321977843358098E-3</c:v>
                </c:pt>
                <c:pt idx="2">
                  <c:v>-1.2388473710137404E-2</c:v>
                </c:pt>
                <c:pt idx="3">
                  <c:v>-7.4034802162555868E-3</c:v>
                </c:pt>
                <c:pt idx="4">
                  <c:v>7.9092953907889951E-2</c:v>
                </c:pt>
                <c:pt idx="5">
                  <c:v>7.8442888117802312E-4</c:v>
                </c:pt>
                <c:pt idx="6">
                  <c:v>-2.3940469327498048E-3</c:v>
                </c:pt>
                <c:pt idx="7">
                  <c:v>4.4531506427247791E-3</c:v>
                </c:pt>
                <c:pt idx="8">
                  <c:v>7.2652040628760073E-3</c:v>
                </c:pt>
              </c:numCache>
            </c:numRef>
          </c:val>
          <c:smooth val="0"/>
          <c:extLst>
            <c:ext xmlns:c16="http://schemas.microsoft.com/office/drawing/2014/chart" uri="{C3380CC4-5D6E-409C-BE32-E72D297353CC}">
              <c16:uniqueId val="{00000001-57B5-4865-8EA9-E2D53FF1EBBD}"/>
            </c:ext>
          </c:extLst>
        </c:ser>
        <c:ser>
          <c:idx val="1"/>
          <c:order val="1"/>
          <c:tx>
            <c:strRef>
              <c:f>'Sitios v Opsimex'!$A$270</c:f>
              <c:strCache>
                <c:ptCount val="1"/>
                <c:pt idx="0">
                  <c:v>Sitios</c:v>
                </c:pt>
              </c:strCache>
            </c:strRef>
          </c:tx>
          <c:spPr>
            <a:ln w="28575" cap="rnd">
              <a:solidFill>
                <a:srgbClr val="799098"/>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4D4D4D"/>
                    </a:solidFill>
                    <a:latin typeface="Roboto" pitchFamily="2" charset="0"/>
                    <a:ea typeface="Roboto" pitchFamily="2" charset="0"/>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Opsimex'!$B$268:$J$268</c:f>
              <c:strCache>
                <c:ptCount val="9"/>
                <c:pt idx="1">
                  <c:v>Q2 21</c:v>
                </c:pt>
                <c:pt idx="2">
                  <c:v>Q3 21</c:v>
                </c:pt>
                <c:pt idx="3">
                  <c:v>Q4 21</c:v>
                </c:pt>
                <c:pt idx="4">
                  <c:v>Q1 22</c:v>
                </c:pt>
                <c:pt idx="5">
                  <c:v>Q2 22</c:v>
                </c:pt>
                <c:pt idx="6">
                  <c:v>Q3 22</c:v>
                </c:pt>
                <c:pt idx="7">
                  <c:v>Q4 22</c:v>
                </c:pt>
                <c:pt idx="8">
                  <c:v>Q1 23</c:v>
                </c:pt>
              </c:strCache>
            </c:strRef>
          </c:cat>
          <c:val>
            <c:numRef>
              <c:f>'Sitios v Opsimex'!$B$270:$J$270</c:f>
              <c:numCache>
                <c:formatCode>General</c:formatCode>
                <c:ptCount val="9"/>
                <c:pt idx="8" formatCode="0.0%">
                  <c:v>-7.6319582440161904E-2</c:v>
                </c:pt>
              </c:numCache>
            </c:numRef>
          </c:val>
          <c:smooth val="0"/>
          <c:extLst>
            <c:ext xmlns:c16="http://schemas.microsoft.com/office/drawing/2014/chart" uri="{C3380CC4-5D6E-409C-BE32-E72D297353CC}">
              <c16:uniqueId val="{00000003-57B5-4865-8EA9-E2D53FF1EBBD}"/>
            </c:ext>
          </c:extLst>
        </c:ser>
        <c:dLbls>
          <c:showLegendKey val="0"/>
          <c:showVal val="1"/>
          <c:showCatName val="0"/>
          <c:showSerName val="0"/>
          <c:showPercent val="0"/>
          <c:showBubbleSize val="0"/>
        </c:dLbls>
        <c:smooth val="0"/>
        <c:axId val="1495160607"/>
        <c:axId val="1495161855"/>
        <c:extLst/>
      </c:lineChart>
      <c:catAx>
        <c:axId val="1495160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crossAx val="1495161855"/>
        <c:crosses val="autoZero"/>
        <c:auto val="1"/>
        <c:lblAlgn val="ctr"/>
        <c:lblOffset val="100"/>
        <c:noMultiLvlLbl val="0"/>
      </c:catAx>
      <c:valAx>
        <c:axId val="1495161855"/>
        <c:scaling>
          <c:orientation val="minMax"/>
        </c:scaling>
        <c:delete val="1"/>
        <c:axPos val="l"/>
        <c:numFmt formatCode="General" sourceLinked="1"/>
        <c:majorTickMark val="none"/>
        <c:minorTickMark val="none"/>
        <c:tickLblPos val="nextTo"/>
        <c:crossAx val="1495160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'Sitios v Opsimex'!$A$293</c:f>
              <c:strCache>
                <c:ptCount val="1"/>
                <c:pt idx="0">
                  <c:v>Opsimex</c:v>
                </c:pt>
              </c:strCache>
            </c:strRef>
          </c:tx>
          <c:spPr>
            <a:solidFill>
              <a:srgbClr val="263238"/>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rgbClr val="4D4D4D"/>
                    </a:solidFill>
                    <a:latin typeface="Roboto" pitchFamily="2" charset="0"/>
                    <a:ea typeface="Roboto" pitchFamily="2"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Opsimex'!$B$292:$J$292</c:f>
              <c:strCache>
                <c:ptCount val="9"/>
                <c:pt idx="0">
                  <c:v>Q1 21</c:v>
                </c:pt>
                <c:pt idx="1">
                  <c:v>Q2 21</c:v>
                </c:pt>
                <c:pt idx="2">
                  <c:v>Q3 21</c:v>
                </c:pt>
                <c:pt idx="3">
                  <c:v>Q4 21</c:v>
                </c:pt>
                <c:pt idx="4">
                  <c:v>Q1 22</c:v>
                </c:pt>
                <c:pt idx="5">
                  <c:v>Q2 22</c:v>
                </c:pt>
                <c:pt idx="6">
                  <c:v>Q3 22</c:v>
                </c:pt>
                <c:pt idx="7">
                  <c:v>Q4 22</c:v>
                </c:pt>
                <c:pt idx="8">
                  <c:v>Q1 23</c:v>
                </c:pt>
              </c:strCache>
            </c:strRef>
          </c:cat>
          <c:val>
            <c:numRef>
              <c:f>'Sitios v Opsimex'!$B$293:$J$293</c:f>
              <c:numCache>
                <c:formatCode>#,##0</c:formatCode>
                <c:ptCount val="9"/>
                <c:pt idx="0">
                  <c:v>252</c:v>
                </c:pt>
                <c:pt idx="1">
                  <c:v>277</c:v>
                </c:pt>
                <c:pt idx="2">
                  <c:v>261</c:v>
                </c:pt>
                <c:pt idx="3">
                  <c:v>262.17536423841011</c:v>
                </c:pt>
                <c:pt idx="4">
                  <c:v>253</c:v>
                </c:pt>
                <c:pt idx="5">
                  <c:v>402</c:v>
                </c:pt>
                <c:pt idx="6">
                  <c:v>349</c:v>
                </c:pt>
                <c:pt idx="7">
                  <c:v>326.49484634018881</c:v>
                </c:pt>
                <c:pt idx="8">
                  <c:v>167</c:v>
                </c:pt>
              </c:numCache>
            </c:numRef>
          </c:val>
          <c:extLst>
            <c:ext xmlns:c16="http://schemas.microsoft.com/office/drawing/2014/chart" uri="{C3380CC4-5D6E-409C-BE32-E72D297353CC}">
              <c16:uniqueId val="{00000000-3847-4986-8373-DD0E19E8F0E7}"/>
            </c:ext>
          </c:extLst>
        </c:ser>
        <c:ser>
          <c:idx val="1"/>
          <c:order val="1"/>
          <c:tx>
            <c:strRef>
              <c:f>'Sitios v Opsimex'!$A$294</c:f>
              <c:strCache>
                <c:ptCount val="1"/>
                <c:pt idx="0">
                  <c:v>Sitios</c:v>
                </c:pt>
              </c:strCache>
            </c:strRef>
          </c:tx>
          <c:spPr>
            <a:solidFill>
              <a:srgbClr val="79909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4D4D4D"/>
                    </a:solidFill>
                    <a:latin typeface="Roboto" pitchFamily="2" charset="0"/>
                    <a:ea typeface="Roboto" pitchFamily="2"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'Sitios v Opsimex'!$B$292:$J$292</c:f>
              <c:strCache>
                <c:ptCount val="9"/>
                <c:pt idx="0">
                  <c:v>Q1 21</c:v>
                </c:pt>
                <c:pt idx="1">
                  <c:v>Q2 21</c:v>
                </c:pt>
                <c:pt idx="2">
                  <c:v>Q3 21</c:v>
                </c:pt>
                <c:pt idx="3">
                  <c:v>Q4 21</c:v>
                </c:pt>
                <c:pt idx="4">
                  <c:v>Q1 22</c:v>
                </c:pt>
                <c:pt idx="5">
                  <c:v>Q2 22</c:v>
                </c:pt>
                <c:pt idx="6">
                  <c:v>Q3 22</c:v>
                </c:pt>
                <c:pt idx="7">
                  <c:v>Q4 22</c:v>
                </c:pt>
                <c:pt idx="8">
                  <c:v>Q1 23</c:v>
                </c:pt>
              </c:strCache>
            </c:strRef>
          </c:cat>
          <c:val>
            <c:numRef>
              <c:f>'Sitios v Opsimex'!$B$294:$J$294</c:f>
              <c:numCache>
                <c:formatCode>General</c:formatCode>
                <c:ptCount val="9"/>
                <c:pt idx="7" formatCode="#,##0">
                  <c:v>271.38000000000011</c:v>
                </c:pt>
                <c:pt idx="8" formatCode="#,##0">
                  <c:v>77.299999999999272</c:v>
                </c:pt>
              </c:numCache>
            </c:numRef>
          </c:val>
          <c:extLst>
            <c:ext xmlns:c16="http://schemas.microsoft.com/office/drawing/2014/chart" uri="{C3380CC4-5D6E-409C-BE32-E72D297353CC}">
              <c16:uniqueId val="{00000002-3847-4986-8373-DD0E19E8F0E7}"/>
            </c:ext>
          </c:extLst>
        </c:ser>
        <c:dLbls>
          <c:dLblPos val="inEnd"/>
          <c:showLegendKey val="0"/>
          <c:showVal val="1"/>
          <c:showCatName val="0"/>
          <c:showSerName val="0"/>
          <c:showPercent val="0"/>
          <c:showBubbleSize val="0"/>
        </c:dLbls>
        <c:gapWidth val="200"/>
        <c:overlap val="-30"/>
        <c:axId val="1495160607"/>
        <c:axId val="1495161855"/>
      </c:barChart>
      <c:catAx>
        <c:axId val="149516060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crossAx val="1495161855"/>
        <c:crosses val="autoZero"/>
        <c:auto val="1"/>
        <c:lblAlgn val="ctr"/>
        <c:lblOffset val="100"/>
        <c:noMultiLvlLbl val="0"/>
      </c:catAx>
      <c:valAx>
        <c:axId val="1495161855"/>
        <c:scaling>
          <c:orientation val="minMax"/>
        </c:scaling>
        <c:delete val="1"/>
        <c:axPos val="l"/>
        <c:numFmt formatCode="#,##0" sourceLinked="1"/>
        <c:majorTickMark val="none"/>
        <c:minorTickMark val="none"/>
        <c:tickLblPos val="nextTo"/>
        <c:crossAx val="1495160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5400" cap="rnd">
              <a:solidFill>
                <a:srgbClr val="263238"/>
              </a:solidFill>
              <a:prstDash val="solid"/>
              <a:round/>
            </a:ln>
            <a:effectLst/>
          </c:spPr>
          <c:marker>
            <c:symbol val="none"/>
          </c:marker>
          <c:dLbls>
            <c:spPr>
              <a:noFill/>
              <a:ln>
                <a:noFill/>
              </a:ln>
              <a:effectLst/>
            </c:spPr>
            <c:txPr>
              <a:bodyPr rot="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Snaps!$B$2:$K$2</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Snaps!$B$3:$K$3</c:f>
              <c:numCache>
                <c:formatCode>0.00</c:formatCode>
                <c:ptCount val="10"/>
                <c:pt idx="0">
                  <c:v>1</c:v>
                </c:pt>
                <c:pt idx="1">
                  <c:v>1</c:v>
                </c:pt>
                <c:pt idx="2">
                  <c:v>1</c:v>
                </c:pt>
                <c:pt idx="3">
                  <c:v>1.0467220133747839</c:v>
                </c:pt>
                <c:pt idx="4">
                  <c:v>1.1288217177751227</c:v>
                </c:pt>
                <c:pt idx="5">
                  <c:v>1.145</c:v>
                </c:pt>
                <c:pt idx="6">
                  <c:v>1.157</c:v>
                </c:pt>
                <c:pt idx="7">
                  <c:v>1.1616453615165239</c:v>
                </c:pt>
                <c:pt idx="8">
                  <c:v>1.1827367034748251</c:v>
                </c:pt>
                <c:pt idx="9">
                  <c:v>1.1901797658603233</c:v>
                </c:pt>
              </c:numCache>
            </c:numRef>
          </c:val>
          <c:smooth val="0"/>
          <c:extLst>
            <c:ext xmlns:c16="http://schemas.microsoft.com/office/drawing/2014/chart" uri="{C3380CC4-5D6E-409C-BE32-E72D297353CC}">
              <c16:uniqueId val="{00000000-3AA8-4440-845D-2E9C697033E7}"/>
            </c:ext>
          </c:extLst>
        </c:ser>
        <c:dLbls>
          <c:showLegendKey val="0"/>
          <c:showVal val="0"/>
          <c:showCatName val="0"/>
          <c:showSerName val="0"/>
          <c:showPercent val="0"/>
          <c:showBubbleSize val="0"/>
        </c:dLbls>
        <c:smooth val="0"/>
        <c:axId val="77458768"/>
        <c:axId val="77455024"/>
      </c:lineChart>
      <c:catAx>
        <c:axId val="77458768"/>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crossAx val="77455024"/>
        <c:crosses val="autoZero"/>
        <c:auto val="1"/>
        <c:lblAlgn val="ctr"/>
        <c:lblOffset val="100"/>
        <c:noMultiLvlLbl val="0"/>
      </c:catAx>
      <c:valAx>
        <c:axId val="77455024"/>
        <c:scaling>
          <c:orientation val="minMax"/>
        </c:scaling>
        <c:delete val="1"/>
        <c:axPos val="l"/>
        <c:numFmt formatCode="0.00" sourceLinked="1"/>
        <c:majorTickMark val="out"/>
        <c:minorTickMark val="none"/>
        <c:tickLblPos val="nextTo"/>
        <c:crossAx val="77458768"/>
        <c:crosses val="autoZero"/>
        <c:crossBetween val="between"/>
      </c:valAx>
      <c:spPr>
        <a:noFill/>
        <a:ln w="25400">
          <a:noFill/>
        </a:ln>
        <a:effectLst/>
      </c:spPr>
    </c:plotArea>
    <c:plotVisOnly val="1"/>
    <c:dispBlanksAs val="gap"/>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Roboto" panose="02000000000000000000" pitchFamily="2" charset="0"/>
          <a:ea typeface="Roboto" panose="02000000000000000000" pitchFamily="2" charset="0"/>
          <a:cs typeface="Helvetica Neue"/>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Snaps!$A$9</c:f>
              <c:strCache>
                <c:ptCount val="1"/>
                <c:pt idx="0">
                  <c:v>Market sites</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Snaps!$B$8:$L$8</c:f>
              <c:numCache>
                <c:formatCode>General</c:formatCode>
                <c:ptCount val="11"/>
                <c:pt idx="0">
                  <c:v>2019</c:v>
                </c:pt>
                <c:pt idx="1">
                  <c:v>2020</c:v>
                </c:pt>
                <c:pt idx="2">
                  <c:v>2021</c:v>
                </c:pt>
                <c:pt idx="3">
                  <c:v>2022</c:v>
                </c:pt>
                <c:pt idx="4">
                  <c:v>2023</c:v>
                </c:pt>
                <c:pt idx="5">
                  <c:v>2024</c:v>
                </c:pt>
                <c:pt idx="6">
                  <c:v>2025</c:v>
                </c:pt>
                <c:pt idx="7">
                  <c:v>2026</c:v>
                </c:pt>
                <c:pt idx="8">
                  <c:v>2027</c:v>
                </c:pt>
                <c:pt idx="9">
                  <c:v>2028</c:v>
                </c:pt>
                <c:pt idx="10">
                  <c:v>2029</c:v>
                </c:pt>
              </c:numCache>
            </c:numRef>
          </c:cat>
          <c:val>
            <c:numRef>
              <c:f>Snaps!$B$9:$L$9</c:f>
              <c:numCache>
                <c:formatCode>#,##0.0</c:formatCode>
                <c:ptCount val="11"/>
                <c:pt idx="0">
                  <c:v>97.296000000000006</c:v>
                </c:pt>
                <c:pt idx="1">
                  <c:v>102.462</c:v>
                </c:pt>
                <c:pt idx="2">
                  <c:v>95.986999999999995</c:v>
                </c:pt>
                <c:pt idx="3">
                  <c:v>101.38917272648536</c:v>
                </c:pt>
                <c:pt idx="4">
                  <c:v>102.65267338780747</c:v>
                </c:pt>
                <c:pt idx="5">
                  <c:v>107.6071092486534</c:v>
                </c:pt>
                <c:pt idx="6">
                  <c:v>114.56478713154883</c:v>
                </c:pt>
                <c:pt idx="7">
                  <c:v>119.82570703649371</c:v>
                </c:pt>
                <c:pt idx="8">
                  <c:v>124.98986896348809</c:v>
                </c:pt>
                <c:pt idx="9">
                  <c:v>130.45727291253189</c:v>
                </c:pt>
                <c:pt idx="10">
                  <c:v>135.92791888362521</c:v>
                </c:pt>
              </c:numCache>
            </c:numRef>
          </c:val>
          <c:extLst>
            <c:ext xmlns:c16="http://schemas.microsoft.com/office/drawing/2014/chart" uri="{C3380CC4-5D6E-409C-BE32-E72D297353CC}">
              <c16:uniqueId val="{00000000-BA8D-4795-9595-289525C3D699}"/>
            </c:ext>
          </c:extLst>
        </c:ser>
        <c:dLbls>
          <c:showLegendKey val="0"/>
          <c:showVal val="0"/>
          <c:showCatName val="0"/>
          <c:showSerName val="0"/>
          <c:showPercent val="0"/>
          <c:showBubbleSize val="0"/>
        </c:dLbls>
        <c:gapWidth val="30"/>
        <c:overlap val="-27"/>
        <c:axId val="441805104"/>
        <c:axId val="441808016"/>
      </c:barChart>
      <c:catAx>
        <c:axId val="441805104"/>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Roboto" panose="02000000000000000000" pitchFamily="2" charset="0"/>
                <a:ea typeface="Roboto" panose="02000000000000000000" pitchFamily="2" charset="0"/>
                <a:cs typeface="Helvetica Neue"/>
              </a:defRPr>
            </a:pPr>
            <a:endParaRPr lang="en-US"/>
          </a:p>
        </c:txPr>
        <c:crossAx val="441808016"/>
        <c:crosses val="autoZero"/>
        <c:auto val="1"/>
        <c:lblAlgn val="ctr"/>
        <c:lblOffset val="100"/>
        <c:noMultiLvlLbl val="0"/>
      </c:catAx>
      <c:valAx>
        <c:axId val="441808016"/>
        <c:scaling>
          <c:orientation val="minMax"/>
        </c:scaling>
        <c:delete val="1"/>
        <c:axPos val="l"/>
        <c:numFmt formatCode="#,##0.0" sourceLinked="1"/>
        <c:majorTickMark val="out"/>
        <c:minorTickMark val="none"/>
        <c:tickLblPos val="nextTo"/>
        <c:crossAx val="441805104"/>
        <c:crosses val="autoZero"/>
        <c:crossBetween val="between"/>
      </c:valAx>
      <c:spPr>
        <a:noFill/>
        <a:ln w="25400">
          <a:noFill/>
        </a:ln>
        <a:effectLst/>
      </c:spPr>
    </c:plotArea>
    <c:plotVisOnly val="1"/>
    <c:dispBlanksAs val="gap"/>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Roboto" panose="02000000000000000000" pitchFamily="2" charset="0"/>
          <a:ea typeface="Roboto" panose="02000000000000000000" pitchFamily="2" charset="0"/>
          <a:cs typeface="Helvetica Neue"/>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263238"/>
              </a:solidFill>
              <a:ln w="25400">
                <a:noFill/>
              </a:ln>
              <a:effectLst/>
            </c:spPr>
            <c:extLst>
              <c:ext xmlns:c16="http://schemas.microsoft.com/office/drawing/2014/chart" uri="{C3380CC4-5D6E-409C-BE32-E72D297353CC}">
                <c16:uniqueId val="{00000001-DF5A-408F-ADE9-3314E14B198D}"/>
              </c:ext>
            </c:extLst>
          </c:dPt>
          <c:dPt>
            <c:idx val="1"/>
            <c:bubble3D val="0"/>
            <c:spPr>
              <a:solidFill>
                <a:srgbClr val="799098"/>
              </a:solidFill>
              <a:ln w="25400">
                <a:noFill/>
              </a:ln>
              <a:effectLst/>
            </c:spPr>
            <c:extLst>
              <c:ext xmlns:c16="http://schemas.microsoft.com/office/drawing/2014/chart" uri="{C3380CC4-5D6E-409C-BE32-E72D297353CC}">
                <c16:uniqueId val="{00000002-DF5A-408F-ADE9-3314E14B198D}"/>
              </c:ext>
            </c:extLst>
          </c:dPt>
          <c:dPt>
            <c:idx val="2"/>
            <c:bubble3D val="0"/>
            <c:spPr>
              <a:solidFill>
                <a:srgbClr val="F9663E"/>
              </a:solidFill>
              <a:ln w="25400">
                <a:noFill/>
              </a:ln>
              <a:effectLst/>
            </c:spPr>
            <c:extLst>
              <c:ext xmlns:c16="http://schemas.microsoft.com/office/drawing/2014/chart" uri="{C3380CC4-5D6E-409C-BE32-E72D297353CC}">
                <c16:uniqueId val="{00000003-DF5A-408F-ADE9-3314E14B198D}"/>
              </c:ext>
            </c:extLst>
          </c:dPt>
          <c:dPt>
            <c:idx val="3"/>
            <c:bubble3D val="0"/>
            <c:spPr>
              <a:solidFill>
                <a:srgbClr val="C7FE02"/>
              </a:solidFill>
              <a:ln w="25400">
                <a:noFill/>
              </a:ln>
              <a:effectLst/>
            </c:spPr>
            <c:extLst>
              <c:ext xmlns:c16="http://schemas.microsoft.com/office/drawing/2014/chart" uri="{C3380CC4-5D6E-409C-BE32-E72D297353CC}">
                <c16:uniqueId val="{00000004-DF5A-408F-ADE9-3314E14B198D}"/>
              </c:ext>
            </c:extLst>
          </c:dPt>
          <c:dPt>
            <c:idx val="4"/>
            <c:bubble3D val="0"/>
            <c:spPr>
              <a:solidFill>
                <a:srgbClr val="00C994"/>
              </a:solidFill>
              <a:ln w="25400">
                <a:noFill/>
              </a:ln>
              <a:effectLst/>
            </c:spPr>
            <c:extLst>
              <c:ext xmlns:c16="http://schemas.microsoft.com/office/drawing/2014/chart" uri="{C3380CC4-5D6E-409C-BE32-E72D297353CC}">
                <c16:uniqueId val="{00000005-DF5A-408F-ADE9-3314E14B198D}"/>
              </c:ext>
            </c:extLst>
          </c:dPt>
          <c:dPt>
            <c:idx val="5"/>
            <c:bubble3D val="0"/>
            <c:spPr>
              <a:solidFill>
                <a:srgbClr val="465A63"/>
              </a:solidFill>
              <a:ln w="25400">
                <a:noFill/>
              </a:ln>
              <a:effectLst/>
            </c:spPr>
            <c:extLst>
              <c:ext xmlns:c16="http://schemas.microsoft.com/office/drawing/2014/chart" uri="{C3380CC4-5D6E-409C-BE32-E72D297353CC}">
                <c16:uniqueId val="{00000006-DF5A-408F-ADE9-3314E14B198D}"/>
              </c:ext>
            </c:extLst>
          </c:dPt>
          <c:dPt>
            <c:idx val="6"/>
            <c:bubble3D val="0"/>
            <c:spPr>
              <a:solidFill>
                <a:srgbClr val="B0BEC5"/>
              </a:solidFill>
              <a:ln w="25400">
                <a:noFill/>
              </a:ln>
              <a:effectLst/>
            </c:spPr>
            <c:extLst>
              <c:ext xmlns:c16="http://schemas.microsoft.com/office/drawing/2014/chart" uri="{C3380CC4-5D6E-409C-BE32-E72D297353CC}">
                <c16:uniqueId val="{00000007-DF5A-408F-ADE9-3314E14B198D}"/>
              </c:ext>
            </c:extLst>
          </c:dPt>
          <c:dPt>
            <c:idx val="7"/>
            <c:bubble3D val="0"/>
            <c:spPr>
              <a:solidFill>
                <a:srgbClr val="F19375"/>
              </a:solidFill>
              <a:ln w="25400">
                <a:noFill/>
              </a:ln>
              <a:effectLst/>
            </c:spPr>
            <c:extLst>
              <c:ext xmlns:c16="http://schemas.microsoft.com/office/drawing/2014/chart" uri="{C3380CC4-5D6E-409C-BE32-E72D297353CC}">
                <c16:uniqueId val="{00000008-DF5A-408F-ADE9-3314E14B198D}"/>
              </c:ext>
            </c:extLst>
          </c:dPt>
          <c:dLbls>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showLegendKey val="0"/>
              <c:showVal val="1"/>
              <c:showCatName val="0"/>
              <c:showSerName val="0"/>
              <c:showPercent val="0"/>
              <c:showBubbleSize val="0"/>
              <c:extLst>
                <c:ext xmlns:c16="http://schemas.microsoft.com/office/drawing/2014/chart" uri="{C3380CC4-5D6E-409C-BE32-E72D297353CC}">
                  <c16:uniqueId val="{00000001-DF5A-408F-ADE9-3314E14B198D}"/>
                </c:ext>
              </c:extLst>
            </c:dLbl>
            <c:dLbl>
              <c:idx val="1"/>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showLegendKey val="0"/>
              <c:showVal val="1"/>
              <c:showCatName val="0"/>
              <c:showSerName val="0"/>
              <c:showPercent val="0"/>
              <c:showBubbleSize val="0"/>
              <c:extLst>
                <c:ext xmlns:c16="http://schemas.microsoft.com/office/drawing/2014/chart" uri="{C3380CC4-5D6E-409C-BE32-E72D297353CC}">
                  <c16:uniqueId val="{00000002-DF5A-408F-ADE9-3314E14B198D}"/>
                </c:ext>
              </c:extLst>
            </c:dLbl>
            <c:dLbl>
              <c:idx val="5"/>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showLegendKey val="0"/>
              <c:showVal val="1"/>
              <c:showCatName val="0"/>
              <c:showSerName val="0"/>
              <c:showPercent val="0"/>
              <c:showBubbleSize val="0"/>
              <c:extLst>
                <c:ext xmlns:c16="http://schemas.microsoft.com/office/drawing/2014/chart" uri="{C3380CC4-5D6E-409C-BE32-E72D297353CC}">
                  <c16:uniqueId val="{00000006-DF5A-408F-ADE9-3314E14B198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Snaps!$A$32:$A$39</c:f>
              <c:strCache>
                <c:ptCount val="8"/>
                <c:pt idx="0">
                  <c:v>Sitios</c:v>
                </c:pt>
                <c:pt idx="1">
                  <c:v>AMT</c:v>
                </c:pt>
                <c:pt idx="2">
                  <c:v>SBA</c:v>
                </c:pt>
                <c:pt idx="3">
                  <c:v>GTS</c:v>
                </c:pt>
                <c:pt idx="4">
                  <c:v>IHS</c:v>
                </c:pt>
                <c:pt idx="5">
                  <c:v>Highline</c:v>
                </c:pt>
                <c:pt idx="6">
                  <c:v>QMC</c:v>
                </c:pt>
                <c:pt idx="7">
                  <c:v>Other</c:v>
                </c:pt>
              </c:strCache>
            </c:strRef>
          </c:cat>
          <c:val>
            <c:numRef>
              <c:f>Snaps!$B$32:$B$39</c:f>
              <c:numCache>
                <c:formatCode>0%</c:formatCode>
                <c:ptCount val="8"/>
                <c:pt idx="0">
                  <c:v>0.16718037710463771</c:v>
                </c:pt>
                <c:pt idx="1">
                  <c:v>0.34379655578359575</c:v>
                </c:pt>
                <c:pt idx="2">
                  <c:v>0.14699907279110713</c:v>
                </c:pt>
                <c:pt idx="3">
                  <c:v>9.6739290588457677E-2</c:v>
                </c:pt>
                <c:pt idx="4">
                  <c:v>6.4740909855352441E-2</c:v>
                </c:pt>
                <c:pt idx="5">
                  <c:v>4.9113793683370821E-2</c:v>
                </c:pt>
                <c:pt idx="6">
                  <c:v>3.7207419457099107E-2</c:v>
                </c:pt>
                <c:pt idx="7">
                  <c:v>9.4222580736379402E-2</c:v>
                </c:pt>
              </c:numCache>
            </c:numRef>
          </c:val>
          <c:extLst>
            <c:ext xmlns:c16="http://schemas.microsoft.com/office/drawing/2014/chart" uri="{C3380CC4-5D6E-409C-BE32-E72D297353CC}">
              <c16:uniqueId val="{00000000-DF5A-408F-ADE9-3314E14B198D}"/>
            </c:ext>
          </c:extLst>
        </c:ser>
        <c:dLbls>
          <c:showLegendKey val="0"/>
          <c:showVal val="0"/>
          <c:showCatName val="0"/>
          <c:showSerName val="0"/>
          <c:showPercent val="0"/>
          <c:showBubbleSize val="0"/>
          <c:showLeaderLines val="1"/>
        </c:dLbls>
        <c:firstSliceAng val="0"/>
      </c:pieChart>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Snaps!$A$51</c:f>
              <c:strCache>
                <c:ptCount val="1"/>
                <c:pt idx="0">
                  <c:v>Sitios</c:v>
                </c:pt>
              </c:strCache>
            </c:strRef>
          </c:tx>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Snaps!$B$50:$G$50</c:f>
              <c:numCache>
                <c:formatCode>General</c:formatCode>
                <c:ptCount val="6"/>
                <c:pt idx="0">
                  <c:v>2021</c:v>
                </c:pt>
                <c:pt idx="1">
                  <c:v>2022</c:v>
                </c:pt>
                <c:pt idx="2">
                  <c:v>2023</c:v>
                </c:pt>
                <c:pt idx="3">
                  <c:v>2024</c:v>
                </c:pt>
                <c:pt idx="4">
                  <c:v>2025</c:v>
                </c:pt>
                <c:pt idx="5">
                  <c:v>2026</c:v>
                </c:pt>
              </c:numCache>
            </c:numRef>
          </c:cat>
          <c:val>
            <c:numRef>
              <c:f>Snaps!$B$51:$G$51</c:f>
              <c:numCache>
                <c:formatCode>0%</c:formatCode>
                <c:ptCount val="6"/>
                <c:pt idx="0">
                  <c:v>6.0911574519939463E-2</c:v>
                </c:pt>
                <c:pt idx="1">
                  <c:v>4.8592358207668704E-2</c:v>
                </c:pt>
                <c:pt idx="2">
                  <c:v>1.8035565560348011E-2</c:v>
                </c:pt>
                <c:pt idx="3">
                  <c:v>7.1582155044947096E-2</c:v>
                </c:pt>
                <c:pt idx="4">
                  <c:v>9.4010948566769351E-2</c:v>
                </c:pt>
                <c:pt idx="5">
                  <c:v>0.11452172921161353</c:v>
                </c:pt>
              </c:numCache>
            </c:numRef>
          </c:val>
          <c:extLst>
            <c:ext xmlns:c16="http://schemas.microsoft.com/office/drawing/2014/chart" uri="{C3380CC4-5D6E-409C-BE32-E72D297353CC}">
              <c16:uniqueId val="{00000000-76C9-4F5A-AD46-4999B0033982}"/>
            </c:ext>
          </c:extLst>
        </c:ser>
        <c:ser>
          <c:idx val="1"/>
          <c:order val="1"/>
          <c:tx>
            <c:strRef>
              <c:f>Snaps!$A$52</c:f>
              <c:strCache>
                <c:ptCount val="1"/>
                <c:pt idx="0">
                  <c:v>Telesites</c:v>
                </c:pt>
              </c:strCache>
            </c:strRef>
          </c:tx>
          <c:spPr>
            <a:solidFill>
              <a:srgbClr val="79909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FFFF"/>
                    </a:solidFill>
                    <a:latin typeface="Helvetica Neue"/>
                    <a:ea typeface="Helvetica Neue"/>
                    <a:cs typeface="Helvetica Neue"/>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Snaps!$B$50:$G$50</c:f>
              <c:numCache>
                <c:formatCode>General</c:formatCode>
                <c:ptCount val="6"/>
                <c:pt idx="0">
                  <c:v>2021</c:v>
                </c:pt>
                <c:pt idx="1">
                  <c:v>2022</c:v>
                </c:pt>
                <c:pt idx="2">
                  <c:v>2023</c:v>
                </c:pt>
                <c:pt idx="3">
                  <c:v>2024</c:v>
                </c:pt>
                <c:pt idx="4">
                  <c:v>2025</c:v>
                </c:pt>
                <c:pt idx="5">
                  <c:v>2026</c:v>
                </c:pt>
              </c:numCache>
            </c:numRef>
          </c:cat>
          <c:val>
            <c:numRef>
              <c:f>Snaps!$B$52:$G$52</c:f>
              <c:numCache>
                <c:formatCode>0%</c:formatCode>
                <c:ptCount val="6"/>
                <c:pt idx="0">
                  <c:v>2.6873959356560142E-2</c:v>
                </c:pt>
                <c:pt idx="1">
                  <c:v>4.5188679422834818E-2</c:v>
                </c:pt>
                <c:pt idx="2">
                  <c:v>6.6001877593996922E-2</c:v>
                </c:pt>
                <c:pt idx="3">
                  <c:v>8.3536970071821939E-2</c:v>
                </c:pt>
                <c:pt idx="4">
                  <c:v>0.10340316893530703</c:v>
                </c:pt>
                <c:pt idx="5">
                  <c:v>0.12658836607156571</c:v>
                </c:pt>
              </c:numCache>
            </c:numRef>
          </c:val>
          <c:extLst>
            <c:ext xmlns:c16="http://schemas.microsoft.com/office/drawing/2014/chart" uri="{C3380CC4-5D6E-409C-BE32-E72D297353CC}">
              <c16:uniqueId val="{00000001-76C9-4F5A-AD46-4999B0033982}"/>
            </c:ext>
          </c:extLst>
        </c:ser>
        <c:dLbls>
          <c:showLegendKey val="0"/>
          <c:showVal val="0"/>
          <c:showCatName val="0"/>
          <c:showSerName val="0"/>
          <c:showPercent val="0"/>
          <c:showBubbleSize val="0"/>
        </c:dLbls>
        <c:gapWidth val="30"/>
        <c:overlap val="-27"/>
        <c:axId val="1526469519"/>
        <c:axId val="1526454543"/>
      </c:barChart>
      <c:catAx>
        <c:axId val="1526469519"/>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1526454543"/>
        <c:crosses val="autoZero"/>
        <c:auto val="1"/>
        <c:lblAlgn val="ctr"/>
        <c:lblOffset val="100"/>
        <c:noMultiLvlLbl val="0"/>
      </c:catAx>
      <c:valAx>
        <c:axId val="1526454543"/>
        <c:scaling>
          <c:orientation val="minMax"/>
        </c:scaling>
        <c:delete val="1"/>
        <c:axPos val="l"/>
        <c:numFmt formatCode="0%" sourceLinked="1"/>
        <c:majorTickMark val="out"/>
        <c:minorTickMark val="none"/>
        <c:tickLblPos val="nextTo"/>
        <c:crossAx val="1526469519"/>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Snaps!$B$135</c:f>
              <c:strCache>
                <c:ptCount val="1"/>
                <c:pt idx="0">
                  <c:v>Q4 22</c:v>
                </c:pt>
              </c:strCache>
            </c:strRef>
          </c:tx>
          <c:spPr>
            <a:solidFill>
              <a:srgbClr val="263238"/>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rgbClr val="4D4D4D"/>
                    </a:solidFill>
                    <a:latin typeface="Roboto" pitchFamily="2" charset="0"/>
                    <a:ea typeface="Roboto" pitchFamily="2"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Snaps!$A$136:$A$139</c:f>
              <c:strCache>
                <c:ptCount val="4"/>
                <c:pt idx="0">
                  <c:v>Brazil</c:v>
                </c:pt>
                <c:pt idx="1">
                  <c:v>Central America &amp; Caribbean</c:v>
                </c:pt>
                <c:pt idx="2">
                  <c:v>AUP</c:v>
                </c:pt>
                <c:pt idx="3">
                  <c:v>Andean region</c:v>
                </c:pt>
              </c:strCache>
            </c:strRef>
          </c:cat>
          <c:val>
            <c:numRef>
              <c:f>Snaps!$C$106:$C$109</c:f>
              <c:numCache>
                <c:formatCode>#,##0</c:formatCode>
                <c:ptCount val="4"/>
                <c:pt idx="0">
                  <c:v>8</c:v>
                </c:pt>
                <c:pt idx="1">
                  <c:v>16</c:v>
                </c:pt>
                <c:pt idx="2">
                  <c:v>3</c:v>
                </c:pt>
                <c:pt idx="3">
                  <c:v>37</c:v>
                </c:pt>
              </c:numCache>
            </c:numRef>
          </c:val>
          <c:extLst>
            <c:ext xmlns:c16="http://schemas.microsoft.com/office/drawing/2014/chart" uri="{C3380CC4-5D6E-409C-BE32-E72D297353CC}">
              <c16:uniqueId val="{00000000-3847-4986-8373-DD0E19E8F0E7}"/>
            </c:ext>
          </c:extLst>
        </c:ser>
        <c:ser>
          <c:idx val="1"/>
          <c:order val="1"/>
          <c:tx>
            <c:strRef>
              <c:f>Snaps!$C$135</c:f>
              <c:strCache>
                <c:ptCount val="1"/>
                <c:pt idx="0">
                  <c:v>Q1 23</c:v>
                </c:pt>
              </c:strCache>
            </c:strRef>
          </c:tx>
          <c:spPr>
            <a:solidFill>
              <a:srgbClr val="79909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4D4D4D"/>
                    </a:solidFill>
                    <a:latin typeface="Roboto" pitchFamily="2" charset="0"/>
                    <a:ea typeface="Roboto" pitchFamily="2"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Snaps!$A$136:$A$139</c:f>
              <c:strCache>
                <c:ptCount val="4"/>
                <c:pt idx="0">
                  <c:v>Brazil</c:v>
                </c:pt>
                <c:pt idx="1">
                  <c:v>Central America &amp; Caribbean</c:v>
                </c:pt>
                <c:pt idx="2">
                  <c:v>AUP</c:v>
                </c:pt>
                <c:pt idx="3">
                  <c:v>Andean region</c:v>
                </c:pt>
              </c:strCache>
            </c:strRef>
          </c:cat>
          <c:val>
            <c:numRef>
              <c:f>Snaps!$D$106:$D$109</c:f>
              <c:numCache>
                <c:formatCode>#,##0</c:formatCode>
                <c:ptCount val="4"/>
                <c:pt idx="0">
                  <c:v>11</c:v>
                </c:pt>
                <c:pt idx="1">
                  <c:v>11</c:v>
                </c:pt>
                <c:pt idx="2">
                  <c:v>7</c:v>
                </c:pt>
                <c:pt idx="3">
                  <c:v>-8</c:v>
                </c:pt>
              </c:numCache>
            </c:numRef>
          </c:val>
          <c:extLst>
            <c:ext xmlns:c16="http://schemas.microsoft.com/office/drawing/2014/chart" uri="{C3380CC4-5D6E-409C-BE32-E72D297353CC}">
              <c16:uniqueId val="{00000002-3847-4986-8373-DD0E19E8F0E7}"/>
            </c:ext>
          </c:extLst>
        </c:ser>
        <c:dLbls>
          <c:dLblPos val="inEnd"/>
          <c:showLegendKey val="0"/>
          <c:showVal val="1"/>
          <c:showCatName val="0"/>
          <c:showSerName val="0"/>
          <c:showPercent val="0"/>
          <c:showBubbleSize val="0"/>
        </c:dLbls>
        <c:gapWidth val="200"/>
        <c:overlap val="-30"/>
        <c:axId val="1495160607"/>
        <c:axId val="1495161855"/>
      </c:barChart>
      <c:catAx>
        <c:axId val="149516060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crossAx val="1495161855"/>
        <c:crosses val="autoZero"/>
        <c:auto val="1"/>
        <c:lblAlgn val="ctr"/>
        <c:lblOffset val="100"/>
        <c:noMultiLvlLbl val="0"/>
      </c:catAx>
      <c:valAx>
        <c:axId val="1495161855"/>
        <c:scaling>
          <c:orientation val="minMax"/>
        </c:scaling>
        <c:delete val="1"/>
        <c:axPos val="l"/>
        <c:numFmt formatCode="#,##0" sourceLinked="1"/>
        <c:majorTickMark val="none"/>
        <c:minorTickMark val="none"/>
        <c:tickLblPos val="nextTo"/>
        <c:crossAx val="1495160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Roboto" pitchFamily="2" charset="0"/>
              <a:ea typeface="Roboto" pitchFamily="2" charset="0"/>
              <a:cs typeface="+mn-cs"/>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63238"/>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595959"/>
                    </a:solidFill>
                    <a:latin typeface="Helvetica Neue"/>
                    <a:ea typeface="Helvetica Neue"/>
                    <a:cs typeface="Helvetica Neue"/>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Notes!$N$178:$N$180</c:f>
              <c:strCache>
                <c:ptCount val="3"/>
                <c:pt idx="0">
                  <c:v>Dom Republic</c:v>
                </c:pt>
                <c:pt idx="1">
                  <c:v>Peru</c:v>
                </c:pt>
                <c:pt idx="2">
                  <c:v>Sitios trading EV</c:v>
                </c:pt>
              </c:strCache>
            </c:strRef>
          </c:cat>
          <c:val>
            <c:numRef>
              <c:f>Notes!$O$178:$O$180</c:f>
              <c:numCache>
                <c:formatCode>#,##0</c:formatCode>
                <c:ptCount val="3"/>
                <c:pt idx="0">
                  <c:v>90000</c:v>
                </c:pt>
                <c:pt idx="1">
                  <c:v>75000</c:v>
                </c:pt>
                <c:pt idx="2">
                  <c:v>108856.75118978297</c:v>
                </c:pt>
              </c:numCache>
            </c:numRef>
          </c:val>
          <c:extLst>
            <c:ext xmlns:c16="http://schemas.microsoft.com/office/drawing/2014/chart" uri="{C3380CC4-5D6E-409C-BE32-E72D297353CC}">
              <c16:uniqueId val="{00000000-7369-446C-A8C0-2A20D522E21E}"/>
            </c:ext>
          </c:extLst>
        </c:ser>
        <c:dLbls>
          <c:showLegendKey val="0"/>
          <c:showVal val="0"/>
          <c:showCatName val="0"/>
          <c:showSerName val="0"/>
          <c:showPercent val="0"/>
          <c:showBubbleSize val="0"/>
        </c:dLbls>
        <c:gapWidth val="30"/>
        <c:overlap val="-27"/>
        <c:axId val="497945087"/>
        <c:axId val="497945567"/>
      </c:barChart>
      <c:catAx>
        <c:axId val="497945087"/>
        <c:scaling>
          <c:orientation val="minMax"/>
        </c:scaling>
        <c:delete val="0"/>
        <c:axPos val="b"/>
        <c:numFmt formatCode="General" sourceLinked="1"/>
        <c:majorTickMark val="out"/>
        <c:minorTickMark val="none"/>
        <c:tickLblPos val="nextTo"/>
        <c:spPr>
          <a:noFill/>
          <a:ln w="9525" cap="flat" cmpd="sng" algn="ctr">
            <a:solidFill>
              <a:srgbClr val="B3B3B3"/>
            </a:solidFill>
            <a:round/>
          </a:ln>
          <a:effectLst/>
        </c:spPr>
        <c:txPr>
          <a:bodyPr rot="-60000000" spcFirstLastPara="1" vertOverflow="ellipsis" vert="horz" wrap="square" anchor="ctr" anchorCtr="1"/>
          <a:lstStyle/>
          <a:p>
            <a:pPr>
              <a:defRPr sz="1000" b="0" i="0" u="none" strike="noStrike" kern="1200" baseline="0">
                <a:solidFill>
                  <a:srgbClr val="595959"/>
                </a:solidFill>
                <a:latin typeface="Helvetica Neue"/>
                <a:ea typeface="Helvetica Neue"/>
                <a:cs typeface="Helvetica Neue"/>
              </a:defRPr>
            </a:pPr>
            <a:endParaRPr lang="en-US"/>
          </a:p>
        </c:txPr>
        <c:crossAx val="497945567"/>
        <c:crosses val="autoZero"/>
        <c:auto val="1"/>
        <c:lblAlgn val="ctr"/>
        <c:lblOffset val="100"/>
        <c:noMultiLvlLbl val="0"/>
      </c:catAx>
      <c:valAx>
        <c:axId val="497945567"/>
        <c:scaling>
          <c:orientation val="minMax"/>
        </c:scaling>
        <c:delete val="1"/>
        <c:axPos val="l"/>
        <c:numFmt formatCode="#,##0" sourceLinked="1"/>
        <c:majorTickMark val="out"/>
        <c:minorTickMark val="none"/>
        <c:tickLblPos val="nextTo"/>
        <c:crossAx val="497945087"/>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000" b="0" i="0" u="none" strike="noStrike" baseline="0">
          <a:solidFill>
            <a:srgbClr val="595959"/>
          </a:solidFill>
          <a:latin typeface="Helvetica Neue"/>
          <a:ea typeface="Helvetica Neue"/>
          <a:cs typeface="Helvetica Neue"/>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withinLinear" id="16">
  <a:schemeClr val="accent3"/>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Master!A1"/><Relationship Id="rId2" Type="http://schemas.openxmlformats.org/officeDocument/2006/relationships/image" Target="../media/image1.png"/><Relationship Id="rId1" Type="http://schemas.openxmlformats.org/officeDocument/2006/relationships/hyperlink" Target="http://www.newstreetresearch.com/" TargetMode="External"/><Relationship Id="rId5" Type="http://schemas.openxmlformats.org/officeDocument/2006/relationships/hyperlink" Target="#Master!A420"/><Relationship Id="rId4" Type="http://schemas.openxmlformats.org/officeDocument/2006/relationships/hyperlink" Target="#Interims!A1"/></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chart" Target="../charts/chart9.xml"/><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19.xml"/><Relationship Id="rId18" Type="http://schemas.openxmlformats.org/officeDocument/2006/relationships/chart" Target="../charts/chart24.xml"/><Relationship Id="rId3" Type="http://schemas.openxmlformats.org/officeDocument/2006/relationships/chart" Target="../charts/chart12.xml"/><Relationship Id="rId7" Type="http://schemas.openxmlformats.org/officeDocument/2006/relationships/image" Target="../media/image7.png"/><Relationship Id="rId12" Type="http://schemas.openxmlformats.org/officeDocument/2006/relationships/chart" Target="../charts/chart18.xml"/><Relationship Id="rId17" Type="http://schemas.openxmlformats.org/officeDocument/2006/relationships/chart" Target="../charts/chart23.xml"/><Relationship Id="rId2" Type="http://schemas.openxmlformats.org/officeDocument/2006/relationships/chart" Target="../charts/chart11.xml"/><Relationship Id="rId16" Type="http://schemas.openxmlformats.org/officeDocument/2006/relationships/chart" Target="../charts/chart22.xml"/><Relationship Id="rId1" Type="http://schemas.openxmlformats.org/officeDocument/2006/relationships/chart" Target="../charts/chart10.xml"/><Relationship Id="rId6" Type="http://schemas.openxmlformats.org/officeDocument/2006/relationships/image" Target="../media/image6.png"/><Relationship Id="rId11" Type="http://schemas.openxmlformats.org/officeDocument/2006/relationships/chart" Target="../charts/chart17.xml"/><Relationship Id="rId5" Type="http://schemas.openxmlformats.org/officeDocument/2006/relationships/chart" Target="../charts/chart14.xml"/><Relationship Id="rId15" Type="http://schemas.openxmlformats.org/officeDocument/2006/relationships/chart" Target="../charts/chart21.xml"/><Relationship Id="rId10" Type="http://schemas.openxmlformats.org/officeDocument/2006/relationships/image" Target="../media/image5.png"/><Relationship Id="rId4" Type="http://schemas.openxmlformats.org/officeDocument/2006/relationships/chart" Target="../charts/chart13.xml"/><Relationship Id="rId9" Type="http://schemas.openxmlformats.org/officeDocument/2006/relationships/chart" Target="../charts/chart16.xml"/><Relationship Id="rId1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2.xml"/><Relationship Id="rId3" Type="http://schemas.openxmlformats.org/officeDocument/2006/relationships/chart" Target="../charts/chart27.xml"/><Relationship Id="rId7" Type="http://schemas.openxmlformats.org/officeDocument/2006/relationships/chart" Target="../charts/chart31.xml"/><Relationship Id="rId12" Type="http://schemas.openxmlformats.org/officeDocument/2006/relationships/chart" Target="../charts/chart36.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5" Type="http://schemas.openxmlformats.org/officeDocument/2006/relationships/chart" Target="../charts/chart29.xml"/><Relationship Id="rId10" Type="http://schemas.openxmlformats.org/officeDocument/2006/relationships/chart" Target="../charts/chart34.xml"/><Relationship Id="rId4" Type="http://schemas.openxmlformats.org/officeDocument/2006/relationships/chart" Target="../charts/chart28.xml"/><Relationship Id="rId9"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131445</xdr:colOff>
      <xdr:row>5</xdr:row>
      <xdr:rowOff>19050</xdr:rowOff>
    </xdr:to>
    <xdr:pic>
      <xdr:nvPicPr>
        <xdr:cNvPr id="2" name="Picture 1" descr="signature_534858453">
          <a:hlinkClick xmlns:r="http://schemas.openxmlformats.org/officeDocument/2006/relationships" r:id="rId1"/>
          <a:extLst>
            <a:ext uri="{FF2B5EF4-FFF2-40B4-BE49-F238E27FC236}">
              <a16:creationId xmlns:a16="http://schemas.microsoft.com/office/drawing/2014/main" id="{F33810BE-7575-48D0-B6E6-B13F7090E5B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
          <a:ext cx="3194685" cy="771525"/>
        </a:xfrm>
        <a:prstGeom prst="rect">
          <a:avLst/>
        </a:prstGeom>
        <a:noFill/>
        <a:ln>
          <a:noFill/>
        </a:ln>
      </xdr:spPr>
    </xdr:pic>
    <xdr:clientData/>
  </xdr:twoCellAnchor>
  <xdr:twoCellAnchor>
    <xdr:from>
      <xdr:col>1</xdr:col>
      <xdr:colOff>99060</xdr:colOff>
      <xdr:row>28</xdr:row>
      <xdr:rowOff>91440</xdr:rowOff>
    </xdr:from>
    <xdr:to>
      <xdr:col>3</xdr:col>
      <xdr:colOff>175260</xdr:colOff>
      <xdr:row>32</xdr:row>
      <xdr:rowOff>15240</xdr:rowOff>
    </xdr:to>
    <xdr:sp macro="" textlink="">
      <xdr:nvSpPr>
        <xdr:cNvPr id="3" name="Rectangle 2">
          <a:hlinkClick xmlns:r="http://schemas.openxmlformats.org/officeDocument/2006/relationships" r:id="rId3"/>
          <a:extLst>
            <a:ext uri="{FF2B5EF4-FFF2-40B4-BE49-F238E27FC236}">
              <a16:creationId xmlns:a16="http://schemas.microsoft.com/office/drawing/2014/main" id="{65459156-8950-4866-9CC8-F44404DC4DD4}"/>
            </a:ext>
          </a:extLst>
        </xdr:cNvPr>
        <xdr:cNvSpPr/>
      </xdr:nvSpPr>
      <xdr:spPr>
        <a:xfrm>
          <a:off x="1135380" y="4693920"/>
          <a:ext cx="1516380" cy="533400"/>
        </a:xfrm>
        <a:prstGeom prst="rect">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100"/>
            <a:t>Main model</a:t>
          </a:r>
        </a:p>
      </xdr:txBody>
    </xdr:sp>
    <xdr:clientData/>
  </xdr:twoCellAnchor>
  <xdr:twoCellAnchor>
    <xdr:from>
      <xdr:col>4</xdr:col>
      <xdr:colOff>20955</xdr:colOff>
      <xdr:row>28</xdr:row>
      <xdr:rowOff>68580</xdr:rowOff>
    </xdr:from>
    <xdr:to>
      <xdr:col>6</xdr:col>
      <xdr:colOff>321945</xdr:colOff>
      <xdr:row>31</xdr:row>
      <xdr:rowOff>144780</xdr:rowOff>
    </xdr:to>
    <xdr:sp macro="" textlink="">
      <xdr:nvSpPr>
        <xdr:cNvPr id="4" name="Rectangle 3">
          <a:hlinkClick xmlns:r="http://schemas.openxmlformats.org/officeDocument/2006/relationships" r:id="rId4"/>
          <a:extLst>
            <a:ext uri="{FF2B5EF4-FFF2-40B4-BE49-F238E27FC236}">
              <a16:creationId xmlns:a16="http://schemas.microsoft.com/office/drawing/2014/main" id="{ADE7F426-2AE7-40B2-86E0-335EFBBDF266}"/>
            </a:ext>
          </a:extLst>
        </xdr:cNvPr>
        <xdr:cNvSpPr/>
      </xdr:nvSpPr>
      <xdr:spPr>
        <a:xfrm>
          <a:off x="3084195" y="4671060"/>
          <a:ext cx="1474470" cy="533400"/>
        </a:xfrm>
        <a:prstGeom prst="rect">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100"/>
            <a:t>Interims</a:t>
          </a:r>
        </a:p>
      </xdr:txBody>
    </xdr:sp>
    <xdr:clientData/>
  </xdr:twoCellAnchor>
  <xdr:twoCellAnchor>
    <xdr:from>
      <xdr:col>7</xdr:col>
      <xdr:colOff>297180</xdr:colOff>
      <xdr:row>28</xdr:row>
      <xdr:rowOff>60960</xdr:rowOff>
    </xdr:from>
    <xdr:to>
      <xdr:col>9</xdr:col>
      <xdr:colOff>605790</xdr:colOff>
      <xdr:row>31</xdr:row>
      <xdr:rowOff>137160</xdr:rowOff>
    </xdr:to>
    <xdr:sp macro="" textlink="">
      <xdr:nvSpPr>
        <xdr:cNvPr id="5" name="Rectangle 4">
          <a:hlinkClick xmlns:r="http://schemas.openxmlformats.org/officeDocument/2006/relationships" r:id="rId5"/>
          <a:extLst>
            <a:ext uri="{FF2B5EF4-FFF2-40B4-BE49-F238E27FC236}">
              <a16:creationId xmlns:a16="http://schemas.microsoft.com/office/drawing/2014/main" id="{A7CBB3C5-6F74-401A-8369-426A6ADEAFBF}"/>
            </a:ext>
          </a:extLst>
        </xdr:cNvPr>
        <xdr:cNvSpPr/>
      </xdr:nvSpPr>
      <xdr:spPr>
        <a:xfrm>
          <a:off x="5120640" y="4663440"/>
          <a:ext cx="1482090" cy="533400"/>
        </a:xfrm>
        <a:prstGeom prst="rect">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100"/>
            <a:t>Valuation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582025</xdr:colOff>
      <xdr:row>23</xdr:row>
      <xdr:rowOff>119063</xdr:rowOff>
    </xdr:from>
    <xdr:to>
      <xdr:col>31</xdr:col>
      <xdr:colOff>463021</xdr:colOff>
      <xdr:row>47</xdr:row>
      <xdr:rowOff>26458</xdr:rowOff>
    </xdr:to>
    <xdr:graphicFrame macro="">
      <xdr:nvGraphicFramePr>
        <xdr:cNvPr id="2" name="Chart 1">
          <a:extLst>
            <a:ext uri="{FF2B5EF4-FFF2-40B4-BE49-F238E27FC236}">
              <a16:creationId xmlns:a16="http://schemas.microsoft.com/office/drawing/2014/main" id="{960947E2-0B00-4BC2-FCA7-5D5A424812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237436</xdr:colOff>
      <xdr:row>225</xdr:row>
      <xdr:rowOff>58531</xdr:rowOff>
    </xdr:from>
    <xdr:to>
      <xdr:col>37</xdr:col>
      <xdr:colOff>143565</xdr:colOff>
      <xdr:row>241</xdr:row>
      <xdr:rowOff>110435</xdr:rowOff>
    </xdr:to>
    <xdr:graphicFrame macro="">
      <xdr:nvGraphicFramePr>
        <xdr:cNvPr id="3" name="Chart 2">
          <a:extLst>
            <a:ext uri="{FF2B5EF4-FFF2-40B4-BE49-F238E27FC236}">
              <a16:creationId xmlns:a16="http://schemas.microsoft.com/office/drawing/2014/main" id="{56D02123-5D65-AB6B-4837-3025CF0C66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109220</xdr:colOff>
      <xdr:row>84</xdr:row>
      <xdr:rowOff>152400</xdr:rowOff>
    </xdr:from>
    <xdr:to>
      <xdr:col>25</xdr:col>
      <xdr:colOff>215900</xdr:colOff>
      <xdr:row>102</xdr:row>
      <xdr:rowOff>165100</xdr:rowOff>
    </xdr:to>
    <xdr:graphicFrame macro="">
      <xdr:nvGraphicFramePr>
        <xdr:cNvPr id="4" name="Chart 3">
          <a:extLst>
            <a:ext uri="{FF2B5EF4-FFF2-40B4-BE49-F238E27FC236}">
              <a16:creationId xmlns:a16="http://schemas.microsoft.com/office/drawing/2014/main" id="{23E90051-5119-2D23-6D0D-3E09C93BE7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19</xdr:col>
      <xdr:colOff>381000</xdr:colOff>
      <xdr:row>1</xdr:row>
      <xdr:rowOff>0</xdr:rowOff>
    </xdr:from>
    <xdr:to>
      <xdr:col>27</xdr:col>
      <xdr:colOff>76200</xdr:colOff>
      <xdr:row>16</xdr:row>
      <xdr:rowOff>28575</xdr:rowOff>
    </xdr:to>
    <xdr:graphicFrame macro="">
      <xdr:nvGraphicFramePr>
        <xdr:cNvPr id="2" name="Chart 1">
          <a:extLst>
            <a:ext uri="{FF2B5EF4-FFF2-40B4-BE49-F238E27FC236}">
              <a16:creationId xmlns:a16="http://schemas.microsoft.com/office/drawing/2014/main" id="{35FA157F-9E17-ABCF-06C6-E1EF5735D7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381000</xdr:colOff>
      <xdr:row>11</xdr:row>
      <xdr:rowOff>109538</xdr:rowOff>
    </xdr:from>
    <xdr:to>
      <xdr:col>14</xdr:col>
      <xdr:colOff>76200</xdr:colOff>
      <xdr:row>26</xdr:row>
      <xdr:rowOff>138113</xdr:rowOff>
    </xdr:to>
    <xdr:graphicFrame macro="">
      <xdr:nvGraphicFramePr>
        <xdr:cNvPr id="3" name="Chart 2">
          <a:extLst>
            <a:ext uri="{FF2B5EF4-FFF2-40B4-BE49-F238E27FC236}">
              <a16:creationId xmlns:a16="http://schemas.microsoft.com/office/drawing/2014/main" id="{701200BB-5BB5-7087-5A66-A282E196FD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581026</xdr:colOff>
      <xdr:row>30</xdr:row>
      <xdr:rowOff>169069</xdr:rowOff>
    </xdr:from>
    <xdr:to>
      <xdr:col>9</xdr:col>
      <xdr:colOff>204788</xdr:colOff>
      <xdr:row>46</xdr:row>
      <xdr:rowOff>16669</xdr:rowOff>
    </xdr:to>
    <xdr:graphicFrame macro="">
      <xdr:nvGraphicFramePr>
        <xdr:cNvPr id="4" name="Chart 3">
          <a:extLst>
            <a:ext uri="{FF2B5EF4-FFF2-40B4-BE49-F238E27FC236}">
              <a16:creationId xmlns:a16="http://schemas.microsoft.com/office/drawing/2014/main" id="{D16E1E72-6A62-31F6-CBE4-BABC7DEFC2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395288</xdr:colOff>
      <xdr:row>50</xdr:row>
      <xdr:rowOff>54767</xdr:rowOff>
    </xdr:from>
    <xdr:to>
      <xdr:col>19</xdr:col>
      <xdr:colOff>4763</xdr:colOff>
      <xdr:row>88</xdr:row>
      <xdr:rowOff>100012</xdr:rowOff>
    </xdr:to>
    <xdr:graphicFrame macro="">
      <xdr:nvGraphicFramePr>
        <xdr:cNvPr id="5" name="Chart 4">
          <a:extLst>
            <a:ext uri="{FF2B5EF4-FFF2-40B4-BE49-F238E27FC236}">
              <a16:creationId xmlns:a16="http://schemas.microsoft.com/office/drawing/2014/main" id="{6010A56D-54E2-71A0-12C4-A4D611B62E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470297</xdr:colOff>
      <xdr:row>131</xdr:row>
      <xdr:rowOff>140492</xdr:rowOff>
    </xdr:from>
    <xdr:to>
      <xdr:col>6</xdr:col>
      <xdr:colOff>2857500</xdr:colOff>
      <xdr:row>148</xdr:row>
      <xdr:rowOff>107156</xdr:rowOff>
    </xdr:to>
    <xdr:graphicFrame macro="">
      <xdr:nvGraphicFramePr>
        <xdr:cNvPr id="6" name="Chart 5">
          <a:extLst>
            <a:ext uri="{FF2B5EF4-FFF2-40B4-BE49-F238E27FC236}">
              <a16:creationId xmlns:a16="http://schemas.microsoft.com/office/drawing/2014/main" id="{0F4063A7-666B-738E-C65A-B7F563BC99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152400</xdr:colOff>
      <xdr:row>1</xdr:row>
      <xdr:rowOff>11430</xdr:rowOff>
    </xdr:from>
    <xdr:to>
      <xdr:col>14</xdr:col>
      <xdr:colOff>209550</xdr:colOff>
      <xdr:row>32</xdr:row>
      <xdr:rowOff>152228</xdr:rowOff>
    </xdr:to>
    <xdr:pic>
      <xdr:nvPicPr>
        <xdr:cNvPr id="2" name="Picture 1">
          <a:extLst>
            <a:ext uri="{FF2B5EF4-FFF2-40B4-BE49-F238E27FC236}">
              <a16:creationId xmlns:a16="http://schemas.microsoft.com/office/drawing/2014/main" id="{309B3223-EC3F-7C34-52CE-4E1C4B8E46F1}"/>
            </a:ext>
          </a:extLst>
        </xdr:cNvPr>
        <xdr:cNvPicPr>
          <a:picLocks noChangeAspect="1"/>
        </xdr:cNvPicPr>
      </xdr:nvPicPr>
      <xdr:blipFill>
        <a:blip xmlns:r="http://schemas.openxmlformats.org/officeDocument/2006/relationships" r:embed="rId1"/>
        <a:stretch>
          <a:fillRect/>
        </a:stretch>
      </xdr:blipFill>
      <xdr:spPr>
        <a:xfrm>
          <a:off x="2590800" y="192405"/>
          <a:ext cx="6149340" cy="5751023"/>
        </a:xfrm>
        <a:prstGeom prst="rect">
          <a:avLst/>
        </a:prstGeom>
      </xdr:spPr>
    </xdr:pic>
    <xdr:clientData/>
  </xdr:twoCellAnchor>
  <xdr:twoCellAnchor editAs="oneCell">
    <xdr:from>
      <xdr:col>13</xdr:col>
      <xdr:colOff>350520</xdr:colOff>
      <xdr:row>10</xdr:row>
      <xdr:rowOff>22860</xdr:rowOff>
    </xdr:from>
    <xdr:to>
      <xdr:col>20</xdr:col>
      <xdr:colOff>472820</xdr:colOff>
      <xdr:row>22</xdr:row>
      <xdr:rowOff>171653</xdr:rowOff>
    </xdr:to>
    <xdr:pic>
      <xdr:nvPicPr>
        <xdr:cNvPr id="3" name="Picture 2">
          <a:extLst>
            <a:ext uri="{FF2B5EF4-FFF2-40B4-BE49-F238E27FC236}">
              <a16:creationId xmlns:a16="http://schemas.microsoft.com/office/drawing/2014/main" id="{DF9CDA8B-184C-2192-3073-270C802C459E}"/>
            </a:ext>
          </a:extLst>
        </xdr:cNvPr>
        <xdr:cNvPicPr>
          <a:picLocks noChangeAspect="1"/>
        </xdr:cNvPicPr>
      </xdr:nvPicPr>
      <xdr:blipFill>
        <a:blip xmlns:r="http://schemas.openxmlformats.org/officeDocument/2006/relationships" r:embed="rId2"/>
        <a:stretch>
          <a:fillRect/>
        </a:stretch>
      </xdr:blipFill>
      <xdr:spPr>
        <a:xfrm>
          <a:off x="8275320" y="1851660"/>
          <a:ext cx="4381880" cy="2339543"/>
        </a:xfrm>
        <a:prstGeom prst="rect">
          <a:avLst/>
        </a:prstGeom>
      </xdr:spPr>
    </xdr:pic>
    <xdr:clientData/>
  </xdr:twoCellAnchor>
  <xdr:twoCellAnchor editAs="oneCell">
    <xdr:from>
      <xdr:col>1</xdr:col>
      <xdr:colOff>0</xdr:colOff>
      <xdr:row>33</xdr:row>
      <xdr:rowOff>0</xdr:rowOff>
    </xdr:from>
    <xdr:to>
      <xdr:col>8</xdr:col>
      <xdr:colOff>95628</xdr:colOff>
      <xdr:row>61</xdr:row>
      <xdr:rowOff>93798</xdr:rowOff>
    </xdr:to>
    <xdr:pic>
      <xdr:nvPicPr>
        <xdr:cNvPr id="4" name="Picture 3">
          <a:extLst>
            <a:ext uri="{FF2B5EF4-FFF2-40B4-BE49-F238E27FC236}">
              <a16:creationId xmlns:a16="http://schemas.microsoft.com/office/drawing/2014/main" id="{E32B5652-0003-4FF1-B1C5-53CCBB8B376F}"/>
            </a:ext>
          </a:extLst>
        </xdr:cNvPr>
        <xdr:cNvPicPr>
          <a:picLocks noChangeAspect="1"/>
        </xdr:cNvPicPr>
      </xdr:nvPicPr>
      <xdr:blipFill>
        <a:blip xmlns:r="http://schemas.openxmlformats.org/officeDocument/2006/relationships" r:embed="rId3"/>
        <a:stretch>
          <a:fillRect/>
        </a:stretch>
      </xdr:blipFill>
      <xdr:spPr>
        <a:xfrm>
          <a:off x="609600" y="6035040"/>
          <a:ext cx="4359018" cy="5227773"/>
        </a:xfrm>
        <a:prstGeom prst="rect">
          <a:avLst/>
        </a:prstGeom>
      </xdr:spPr>
    </xdr:pic>
    <xdr:clientData/>
  </xdr:twoCellAnchor>
  <xdr:twoCellAnchor editAs="oneCell">
    <xdr:from>
      <xdr:col>9</xdr:col>
      <xdr:colOff>601979</xdr:colOff>
      <xdr:row>36</xdr:row>
      <xdr:rowOff>0</xdr:rowOff>
    </xdr:from>
    <xdr:to>
      <xdr:col>22</xdr:col>
      <xdr:colOff>572842</xdr:colOff>
      <xdr:row>57</xdr:row>
      <xdr:rowOff>129540</xdr:rowOff>
    </xdr:to>
    <xdr:pic>
      <xdr:nvPicPr>
        <xdr:cNvPr id="5" name="Picture 4">
          <a:extLst>
            <a:ext uri="{FF2B5EF4-FFF2-40B4-BE49-F238E27FC236}">
              <a16:creationId xmlns:a16="http://schemas.microsoft.com/office/drawing/2014/main" id="{E56F5D20-99F3-2EBA-399F-D7E6AF48822B}"/>
            </a:ext>
          </a:extLst>
        </xdr:cNvPr>
        <xdr:cNvPicPr>
          <a:picLocks noChangeAspect="1"/>
        </xdr:cNvPicPr>
      </xdr:nvPicPr>
      <xdr:blipFill>
        <a:blip xmlns:r="http://schemas.openxmlformats.org/officeDocument/2006/relationships" r:embed="rId4"/>
        <a:stretch>
          <a:fillRect/>
        </a:stretch>
      </xdr:blipFill>
      <xdr:spPr>
        <a:xfrm>
          <a:off x="6088379" y="6583680"/>
          <a:ext cx="7895663" cy="3962400"/>
        </a:xfrm>
        <a:prstGeom prst="rect">
          <a:avLst/>
        </a:prstGeom>
      </xdr:spPr>
    </xdr:pic>
    <xdr:clientData/>
  </xdr:twoCellAnchor>
  <xdr:twoCellAnchor>
    <xdr:from>
      <xdr:col>11</xdr:col>
      <xdr:colOff>34290</xdr:colOff>
      <xdr:row>158</xdr:row>
      <xdr:rowOff>78105</xdr:rowOff>
    </xdr:from>
    <xdr:to>
      <xdr:col>18</xdr:col>
      <xdr:colOff>125730</xdr:colOff>
      <xdr:row>173</xdr:row>
      <xdr:rowOff>78105</xdr:rowOff>
    </xdr:to>
    <xdr:graphicFrame macro="">
      <xdr:nvGraphicFramePr>
        <xdr:cNvPr id="6" name="Chart 5">
          <a:extLst>
            <a:ext uri="{FF2B5EF4-FFF2-40B4-BE49-F238E27FC236}">
              <a16:creationId xmlns:a16="http://schemas.microsoft.com/office/drawing/2014/main" id="{5BAA6C19-E3C8-F8F6-B717-82C12B6D06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1045059</xdr:colOff>
      <xdr:row>3</xdr:row>
      <xdr:rowOff>13447</xdr:rowOff>
    </xdr:from>
    <xdr:to>
      <xdr:col>14</xdr:col>
      <xdr:colOff>331694</xdr:colOff>
      <xdr:row>23</xdr:row>
      <xdr:rowOff>165847</xdr:rowOff>
    </xdr:to>
    <xdr:graphicFrame macro="">
      <xdr:nvGraphicFramePr>
        <xdr:cNvPr id="2" name="Chart 1">
          <a:extLst>
            <a:ext uri="{FF2B5EF4-FFF2-40B4-BE49-F238E27FC236}">
              <a16:creationId xmlns:a16="http://schemas.microsoft.com/office/drawing/2014/main" id="{F7D57A0D-A807-13F0-9677-A51477374E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375820</xdr:colOff>
      <xdr:row>24</xdr:row>
      <xdr:rowOff>85986</xdr:rowOff>
    </xdr:from>
    <xdr:to>
      <xdr:col>19</xdr:col>
      <xdr:colOff>71516</xdr:colOff>
      <xdr:row>39</xdr:row>
      <xdr:rowOff>112656</xdr:rowOff>
    </xdr:to>
    <xdr:graphicFrame macro="">
      <xdr:nvGraphicFramePr>
        <xdr:cNvPr id="4" name="Chart 3">
          <a:extLst>
            <a:ext uri="{FF2B5EF4-FFF2-40B4-BE49-F238E27FC236}">
              <a16:creationId xmlns:a16="http://schemas.microsoft.com/office/drawing/2014/main" id="{F46BE691-8DE5-367F-9F13-D040372F34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202127</xdr:colOff>
      <xdr:row>40</xdr:row>
      <xdr:rowOff>87086</xdr:rowOff>
    </xdr:from>
    <xdr:to>
      <xdr:col>16</xdr:col>
      <xdr:colOff>108858</xdr:colOff>
      <xdr:row>59</xdr:row>
      <xdr:rowOff>142144</xdr:rowOff>
    </xdr:to>
    <xdr:graphicFrame macro="">
      <xdr:nvGraphicFramePr>
        <xdr:cNvPr id="5" name="Chart 4">
          <a:extLst>
            <a:ext uri="{FF2B5EF4-FFF2-40B4-BE49-F238E27FC236}">
              <a16:creationId xmlns:a16="http://schemas.microsoft.com/office/drawing/2014/main" id="{11E3B3EB-BFFC-00A8-75AE-FEE8EE29AE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605705</xdr:colOff>
      <xdr:row>41</xdr:row>
      <xdr:rowOff>15211</xdr:rowOff>
    </xdr:from>
    <xdr:to>
      <xdr:col>25</xdr:col>
      <xdr:colOff>609600</xdr:colOff>
      <xdr:row>62</xdr:row>
      <xdr:rowOff>152400</xdr:rowOff>
    </xdr:to>
    <xdr:graphicFrame macro="">
      <xdr:nvGraphicFramePr>
        <xdr:cNvPr id="6" name="Chart 5">
          <a:extLst>
            <a:ext uri="{FF2B5EF4-FFF2-40B4-BE49-F238E27FC236}">
              <a16:creationId xmlns:a16="http://schemas.microsoft.com/office/drawing/2014/main" id="{40B808D9-B40A-4E36-99CC-62B86A7D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276617</xdr:colOff>
      <xdr:row>85</xdr:row>
      <xdr:rowOff>57410</xdr:rowOff>
    </xdr:from>
    <xdr:to>
      <xdr:col>28</xdr:col>
      <xdr:colOff>1137781</xdr:colOff>
      <xdr:row>103</xdr:row>
      <xdr:rowOff>114821</xdr:rowOff>
    </xdr:to>
    <xdr:graphicFrame macro="">
      <xdr:nvGraphicFramePr>
        <xdr:cNvPr id="12" name="Chart 11">
          <a:extLst>
            <a:ext uri="{FF2B5EF4-FFF2-40B4-BE49-F238E27FC236}">
              <a16:creationId xmlns:a16="http://schemas.microsoft.com/office/drawing/2014/main" id="{B930E441-A8CA-4CB1-A17B-CE2C0866AC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28</xdr:col>
      <xdr:colOff>1394460</xdr:colOff>
      <xdr:row>14</xdr:row>
      <xdr:rowOff>38100</xdr:rowOff>
    </xdr:from>
    <xdr:to>
      <xdr:col>36</xdr:col>
      <xdr:colOff>324459</xdr:colOff>
      <xdr:row>27</xdr:row>
      <xdr:rowOff>748</xdr:rowOff>
    </xdr:to>
    <xdr:pic>
      <xdr:nvPicPr>
        <xdr:cNvPr id="9" name="Picture 8">
          <a:extLst>
            <a:ext uri="{FF2B5EF4-FFF2-40B4-BE49-F238E27FC236}">
              <a16:creationId xmlns:a16="http://schemas.microsoft.com/office/drawing/2014/main" id="{913EBA67-E82C-489F-A16F-6EF7BDBD5AD6}"/>
            </a:ext>
          </a:extLst>
        </xdr:cNvPr>
        <xdr:cNvPicPr>
          <a:picLocks noChangeAspect="1"/>
        </xdr:cNvPicPr>
      </xdr:nvPicPr>
      <xdr:blipFill>
        <a:blip xmlns:r="http://schemas.openxmlformats.org/officeDocument/2006/relationships" r:embed="rId6"/>
        <a:stretch>
          <a:fillRect/>
        </a:stretch>
      </xdr:blipFill>
      <xdr:spPr>
        <a:xfrm>
          <a:off x="23728680" y="2598420"/>
          <a:ext cx="7018628" cy="2396695"/>
        </a:xfrm>
        <a:prstGeom prst="rect">
          <a:avLst/>
        </a:prstGeom>
      </xdr:spPr>
    </xdr:pic>
    <xdr:clientData/>
  </xdr:twoCellAnchor>
  <xdr:twoCellAnchor editAs="oneCell">
    <xdr:from>
      <xdr:col>29</xdr:col>
      <xdr:colOff>0</xdr:colOff>
      <xdr:row>29</xdr:row>
      <xdr:rowOff>0</xdr:rowOff>
    </xdr:from>
    <xdr:to>
      <xdr:col>34</xdr:col>
      <xdr:colOff>551003</xdr:colOff>
      <xdr:row>40</xdr:row>
      <xdr:rowOff>171644</xdr:rowOff>
    </xdr:to>
    <xdr:pic>
      <xdr:nvPicPr>
        <xdr:cNvPr id="11" name="Picture 10">
          <a:extLst>
            <a:ext uri="{FF2B5EF4-FFF2-40B4-BE49-F238E27FC236}">
              <a16:creationId xmlns:a16="http://schemas.microsoft.com/office/drawing/2014/main" id="{E97CC7D5-BAA5-428F-AB5C-C742514D481A}"/>
            </a:ext>
          </a:extLst>
        </xdr:cNvPr>
        <xdr:cNvPicPr>
          <a:picLocks noChangeAspect="1"/>
        </xdr:cNvPicPr>
      </xdr:nvPicPr>
      <xdr:blipFill>
        <a:blip xmlns:r="http://schemas.openxmlformats.org/officeDocument/2006/relationships" r:embed="rId7"/>
        <a:stretch>
          <a:fillRect/>
        </a:stretch>
      </xdr:blipFill>
      <xdr:spPr>
        <a:xfrm>
          <a:off x="24597360" y="5303520"/>
          <a:ext cx="5288738" cy="2286195"/>
        </a:xfrm>
        <a:prstGeom prst="rect">
          <a:avLst/>
        </a:prstGeom>
      </xdr:spPr>
    </xdr:pic>
    <xdr:clientData/>
  </xdr:twoCellAnchor>
  <xdr:twoCellAnchor>
    <xdr:from>
      <xdr:col>8</xdr:col>
      <xdr:colOff>73127</xdr:colOff>
      <xdr:row>131</xdr:row>
      <xdr:rowOff>59597</xdr:rowOff>
    </xdr:from>
    <xdr:to>
      <xdr:col>14</xdr:col>
      <xdr:colOff>4076700</xdr:colOff>
      <xdr:row>150</xdr:row>
      <xdr:rowOff>88726</xdr:rowOff>
    </xdr:to>
    <xdr:graphicFrame macro="">
      <xdr:nvGraphicFramePr>
        <xdr:cNvPr id="3" name="Chart 2">
          <a:extLst>
            <a:ext uri="{FF2B5EF4-FFF2-40B4-BE49-F238E27FC236}">
              <a16:creationId xmlns:a16="http://schemas.microsoft.com/office/drawing/2014/main" id="{2E0D6742-8799-419E-950B-47DEC7586F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430307</xdr:colOff>
      <xdr:row>161</xdr:row>
      <xdr:rowOff>29135</xdr:rowOff>
    </xdr:from>
    <xdr:to>
      <xdr:col>18</xdr:col>
      <xdr:colOff>54428</xdr:colOff>
      <xdr:row>185</xdr:row>
      <xdr:rowOff>40341</xdr:rowOff>
    </xdr:to>
    <xdr:graphicFrame macro="">
      <xdr:nvGraphicFramePr>
        <xdr:cNvPr id="7" name="Chart 6">
          <a:extLst>
            <a:ext uri="{FF2B5EF4-FFF2-40B4-BE49-F238E27FC236}">
              <a16:creationId xmlns:a16="http://schemas.microsoft.com/office/drawing/2014/main" id="{5AA8F2FB-3D80-F9A7-786E-DC7FC4AE3C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9</xdr:col>
      <xdr:colOff>71717</xdr:colOff>
      <xdr:row>185</xdr:row>
      <xdr:rowOff>170330</xdr:rowOff>
    </xdr:from>
    <xdr:to>
      <xdr:col>15</xdr:col>
      <xdr:colOff>87572</xdr:colOff>
      <xdr:row>206</xdr:row>
      <xdr:rowOff>160404</xdr:rowOff>
    </xdr:to>
    <xdr:pic>
      <xdr:nvPicPr>
        <xdr:cNvPr id="8" name="Picture 7">
          <a:extLst>
            <a:ext uri="{FF2B5EF4-FFF2-40B4-BE49-F238E27FC236}">
              <a16:creationId xmlns:a16="http://schemas.microsoft.com/office/drawing/2014/main" id="{AF0EA8C4-E123-4F5F-BD0B-32AC19044F04}"/>
            </a:ext>
          </a:extLst>
        </xdr:cNvPr>
        <xdr:cNvPicPr>
          <a:picLocks noChangeAspect="1"/>
        </xdr:cNvPicPr>
      </xdr:nvPicPr>
      <xdr:blipFill>
        <a:blip xmlns:r="http://schemas.openxmlformats.org/officeDocument/2006/relationships" r:embed="rId10"/>
        <a:stretch>
          <a:fillRect/>
        </a:stretch>
      </xdr:blipFill>
      <xdr:spPr>
        <a:xfrm>
          <a:off x="7449670" y="29027718"/>
          <a:ext cx="7895663" cy="3962400"/>
        </a:xfrm>
        <a:prstGeom prst="rect">
          <a:avLst/>
        </a:prstGeom>
      </xdr:spPr>
    </xdr:pic>
    <xdr:clientData/>
  </xdr:twoCellAnchor>
  <xdr:twoCellAnchor>
    <xdr:from>
      <xdr:col>2</xdr:col>
      <xdr:colOff>1013011</xdr:colOff>
      <xdr:row>201</xdr:row>
      <xdr:rowOff>80681</xdr:rowOff>
    </xdr:from>
    <xdr:to>
      <xdr:col>6</xdr:col>
      <xdr:colOff>470646</xdr:colOff>
      <xdr:row>217</xdr:row>
      <xdr:rowOff>152400</xdr:rowOff>
    </xdr:to>
    <xdr:graphicFrame macro="">
      <xdr:nvGraphicFramePr>
        <xdr:cNvPr id="13" name="Chart 12">
          <a:extLst>
            <a:ext uri="{FF2B5EF4-FFF2-40B4-BE49-F238E27FC236}">
              <a16:creationId xmlns:a16="http://schemas.microsoft.com/office/drawing/2014/main" id="{3314765E-0F06-99C3-07B7-5636137A63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387722</xdr:colOff>
      <xdr:row>214</xdr:row>
      <xdr:rowOff>114300</xdr:rowOff>
    </xdr:from>
    <xdr:to>
      <xdr:col>16</xdr:col>
      <xdr:colOff>80682</xdr:colOff>
      <xdr:row>235</xdr:row>
      <xdr:rowOff>171337</xdr:rowOff>
    </xdr:to>
    <xdr:graphicFrame macro="">
      <xdr:nvGraphicFramePr>
        <xdr:cNvPr id="14" name="Chart 13">
          <a:extLst>
            <a:ext uri="{FF2B5EF4-FFF2-40B4-BE49-F238E27FC236}">
              <a16:creationId xmlns:a16="http://schemas.microsoft.com/office/drawing/2014/main" id="{03E49C20-2169-BFEB-7FD9-D5766681D6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464506</xdr:colOff>
      <xdr:row>103</xdr:row>
      <xdr:rowOff>140918</xdr:rowOff>
    </xdr:from>
    <xdr:to>
      <xdr:col>15</xdr:col>
      <xdr:colOff>114300</xdr:colOff>
      <xdr:row>124</xdr:row>
      <xdr:rowOff>62630</xdr:rowOff>
    </xdr:to>
    <xdr:graphicFrame macro="">
      <xdr:nvGraphicFramePr>
        <xdr:cNvPr id="15" name="Chart 14">
          <a:extLst>
            <a:ext uri="{FF2B5EF4-FFF2-40B4-BE49-F238E27FC236}">
              <a16:creationId xmlns:a16="http://schemas.microsoft.com/office/drawing/2014/main" id="{19C27C84-1D8D-DEA5-46CD-603F080986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397329</xdr:colOff>
      <xdr:row>272</xdr:row>
      <xdr:rowOff>35377</xdr:rowOff>
    </xdr:from>
    <xdr:to>
      <xdr:col>14</xdr:col>
      <xdr:colOff>4272643</xdr:colOff>
      <xdr:row>289</xdr:row>
      <xdr:rowOff>152399</xdr:rowOff>
    </xdr:to>
    <xdr:graphicFrame macro="">
      <xdr:nvGraphicFramePr>
        <xdr:cNvPr id="16" name="Chart 15">
          <a:extLst>
            <a:ext uri="{FF2B5EF4-FFF2-40B4-BE49-F238E27FC236}">
              <a16:creationId xmlns:a16="http://schemas.microsoft.com/office/drawing/2014/main" id="{2774F60E-C09C-9B6F-501E-EA1C5BEE41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0</xdr:colOff>
      <xdr:row>294</xdr:row>
      <xdr:rowOff>0</xdr:rowOff>
    </xdr:from>
    <xdr:to>
      <xdr:col>14</xdr:col>
      <xdr:colOff>4517571</xdr:colOff>
      <xdr:row>312</xdr:row>
      <xdr:rowOff>111580</xdr:rowOff>
    </xdr:to>
    <xdr:graphicFrame macro="">
      <xdr:nvGraphicFramePr>
        <xdr:cNvPr id="17" name="Chart 16">
          <a:extLst>
            <a:ext uri="{FF2B5EF4-FFF2-40B4-BE49-F238E27FC236}">
              <a16:creationId xmlns:a16="http://schemas.microsoft.com/office/drawing/2014/main" id="{EFC87D11-6696-480B-B71A-CC68996F31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534852</xdr:colOff>
      <xdr:row>61</xdr:row>
      <xdr:rowOff>136072</xdr:rowOff>
    </xdr:from>
    <xdr:to>
      <xdr:col>14</xdr:col>
      <xdr:colOff>3858986</xdr:colOff>
      <xdr:row>81</xdr:row>
      <xdr:rowOff>172902</xdr:rowOff>
    </xdr:to>
    <xdr:graphicFrame macro="">
      <xdr:nvGraphicFramePr>
        <xdr:cNvPr id="10" name="Chart 9">
          <a:extLst>
            <a:ext uri="{FF2B5EF4-FFF2-40B4-BE49-F238E27FC236}">
              <a16:creationId xmlns:a16="http://schemas.microsoft.com/office/drawing/2014/main" id="{C7096BC3-9C1A-ABCA-4259-F9F9CD58AE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51</xdr:col>
      <xdr:colOff>394608</xdr:colOff>
      <xdr:row>45</xdr:row>
      <xdr:rowOff>13607</xdr:rowOff>
    </xdr:from>
    <xdr:to>
      <xdr:col>54</xdr:col>
      <xdr:colOff>449037</xdr:colOff>
      <xdr:row>58</xdr:row>
      <xdr:rowOff>40821</xdr:rowOff>
    </xdr:to>
    <xdr:graphicFrame macro="">
      <xdr:nvGraphicFramePr>
        <xdr:cNvPr id="22" name="Chart 21">
          <a:extLst>
            <a:ext uri="{FF2B5EF4-FFF2-40B4-BE49-F238E27FC236}">
              <a16:creationId xmlns:a16="http://schemas.microsoft.com/office/drawing/2014/main" id="{791D072A-26FE-B47C-E11D-502FE79379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36</xdr:col>
      <xdr:colOff>1006930</xdr:colOff>
      <xdr:row>73</xdr:row>
      <xdr:rowOff>149677</xdr:rowOff>
    </xdr:from>
    <xdr:to>
      <xdr:col>43</xdr:col>
      <xdr:colOff>312965</xdr:colOff>
      <xdr:row>101</xdr:row>
      <xdr:rowOff>149678</xdr:rowOff>
    </xdr:to>
    <xdr:graphicFrame macro="">
      <xdr:nvGraphicFramePr>
        <xdr:cNvPr id="23" name="Chart 22">
          <a:extLst>
            <a:ext uri="{FF2B5EF4-FFF2-40B4-BE49-F238E27FC236}">
              <a16:creationId xmlns:a16="http://schemas.microsoft.com/office/drawing/2014/main" id="{6603BB87-FDEF-45DD-A9F6-C87FFF2C72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476251</xdr:colOff>
      <xdr:row>4</xdr:row>
      <xdr:rowOff>171450</xdr:rowOff>
    </xdr:from>
    <xdr:to>
      <xdr:col>14</xdr:col>
      <xdr:colOff>180975</xdr:colOff>
      <xdr:row>18</xdr:row>
      <xdr:rowOff>190499</xdr:rowOff>
    </xdr:to>
    <xdr:graphicFrame macro="">
      <xdr:nvGraphicFramePr>
        <xdr:cNvPr id="2" name="Chart 1">
          <a:extLst>
            <a:ext uri="{FF2B5EF4-FFF2-40B4-BE49-F238E27FC236}">
              <a16:creationId xmlns:a16="http://schemas.microsoft.com/office/drawing/2014/main" id="{4BD64622-1B4C-9A97-17DF-84EBCA7654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504826</xdr:colOff>
      <xdr:row>20</xdr:row>
      <xdr:rowOff>166688</xdr:rowOff>
    </xdr:from>
    <xdr:to>
      <xdr:col>19</xdr:col>
      <xdr:colOff>209550</xdr:colOff>
      <xdr:row>36</xdr:row>
      <xdr:rowOff>28576</xdr:rowOff>
    </xdr:to>
    <xdr:graphicFrame macro="">
      <xdr:nvGraphicFramePr>
        <xdr:cNvPr id="3" name="Chart 2">
          <a:extLst>
            <a:ext uri="{FF2B5EF4-FFF2-40B4-BE49-F238E27FC236}">
              <a16:creationId xmlns:a16="http://schemas.microsoft.com/office/drawing/2014/main" id="{F2A8A62A-E8CC-FF4E-5843-B916F23EA6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571500</xdr:colOff>
      <xdr:row>20</xdr:row>
      <xdr:rowOff>166687</xdr:rowOff>
    </xdr:from>
    <xdr:to>
      <xdr:col>25</xdr:col>
      <xdr:colOff>257175</xdr:colOff>
      <xdr:row>36</xdr:row>
      <xdr:rowOff>76200</xdr:rowOff>
    </xdr:to>
    <xdr:graphicFrame macro="">
      <xdr:nvGraphicFramePr>
        <xdr:cNvPr id="4" name="Chart 3">
          <a:extLst>
            <a:ext uri="{FF2B5EF4-FFF2-40B4-BE49-F238E27FC236}">
              <a16:creationId xmlns:a16="http://schemas.microsoft.com/office/drawing/2014/main" id="{BA40FEF7-617B-7701-B88E-9A8BDAAB1D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280987</xdr:colOff>
      <xdr:row>48</xdr:row>
      <xdr:rowOff>138111</xdr:rowOff>
    </xdr:from>
    <xdr:to>
      <xdr:col>16</xdr:col>
      <xdr:colOff>466725</xdr:colOff>
      <xdr:row>63</xdr:row>
      <xdr:rowOff>85725</xdr:rowOff>
    </xdr:to>
    <xdr:graphicFrame macro="">
      <xdr:nvGraphicFramePr>
        <xdr:cNvPr id="5" name="Chart 4">
          <a:extLst>
            <a:ext uri="{FF2B5EF4-FFF2-40B4-BE49-F238E27FC236}">
              <a16:creationId xmlns:a16="http://schemas.microsoft.com/office/drawing/2014/main" id="{25D410FD-3DB3-5ECA-CAB8-DB26C72212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204787</xdr:colOff>
      <xdr:row>66</xdr:row>
      <xdr:rowOff>61911</xdr:rowOff>
    </xdr:from>
    <xdr:to>
      <xdr:col>20</xdr:col>
      <xdr:colOff>28575</xdr:colOff>
      <xdr:row>81</xdr:row>
      <xdr:rowOff>142875</xdr:rowOff>
    </xdr:to>
    <xdr:graphicFrame macro="">
      <xdr:nvGraphicFramePr>
        <xdr:cNvPr id="6" name="Chart 5">
          <a:extLst>
            <a:ext uri="{FF2B5EF4-FFF2-40B4-BE49-F238E27FC236}">
              <a16:creationId xmlns:a16="http://schemas.microsoft.com/office/drawing/2014/main" id="{98CF172D-2EFE-EBBA-7939-31590A40E8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576262</xdr:colOff>
      <xdr:row>93</xdr:row>
      <xdr:rowOff>185736</xdr:rowOff>
    </xdr:from>
    <xdr:to>
      <xdr:col>20</xdr:col>
      <xdr:colOff>161925</xdr:colOff>
      <xdr:row>108</xdr:row>
      <xdr:rowOff>95249</xdr:rowOff>
    </xdr:to>
    <xdr:graphicFrame macro="">
      <xdr:nvGraphicFramePr>
        <xdr:cNvPr id="7" name="Chart 6">
          <a:extLst>
            <a:ext uri="{FF2B5EF4-FFF2-40B4-BE49-F238E27FC236}">
              <a16:creationId xmlns:a16="http://schemas.microsoft.com/office/drawing/2014/main" id="{C5A989B9-1A4B-B4E8-7DCB-F1845320E5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85725</xdr:colOff>
      <xdr:row>114</xdr:row>
      <xdr:rowOff>85725</xdr:rowOff>
    </xdr:from>
    <xdr:to>
      <xdr:col>22</xdr:col>
      <xdr:colOff>390525</xdr:colOff>
      <xdr:row>128</xdr:row>
      <xdr:rowOff>133350</xdr:rowOff>
    </xdr:to>
    <xdr:graphicFrame macro="">
      <xdr:nvGraphicFramePr>
        <xdr:cNvPr id="8" name="Chart 7">
          <a:extLst>
            <a:ext uri="{FF2B5EF4-FFF2-40B4-BE49-F238E27FC236}">
              <a16:creationId xmlns:a16="http://schemas.microsoft.com/office/drawing/2014/main" id="{0A27C542-F642-C16E-0060-E302D11074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755194</xdr:colOff>
      <xdr:row>208</xdr:row>
      <xdr:rowOff>91166</xdr:rowOff>
    </xdr:from>
    <xdr:to>
      <xdr:col>16</xdr:col>
      <xdr:colOff>380999</xdr:colOff>
      <xdr:row>226</xdr:row>
      <xdr:rowOff>27215</xdr:rowOff>
    </xdr:to>
    <xdr:graphicFrame macro="">
      <xdr:nvGraphicFramePr>
        <xdr:cNvPr id="9" name="Chart 8">
          <a:extLst>
            <a:ext uri="{FF2B5EF4-FFF2-40B4-BE49-F238E27FC236}">
              <a16:creationId xmlns:a16="http://schemas.microsoft.com/office/drawing/2014/main" id="{7D17D10F-4514-82CE-6F3D-F4F8D9B448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333374</xdr:colOff>
      <xdr:row>228</xdr:row>
      <xdr:rowOff>125187</xdr:rowOff>
    </xdr:from>
    <xdr:to>
      <xdr:col>16</xdr:col>
      <xdr:colOff>415017</xdr:colOff>
      <xdr:row>243</xdr:row>
      <xdr:rowOff>10887</xdr:rowOff>
    </xdr:to>
    <xdr:graphicFrame macro="">
      <xdr:nvGraphicFramePr>
        <xdr:cNvPr id="10" name="Chart 9">
          <a:extLst>
            <a:ext uri="{FF2B5EF4-FFF2-40B4-BE49-F238E27FC236}">
              <a16:creationId xmlns:a16="http://schemas.microsoft.com/office/drawing/2014/main" id="{9A043B44-30F8-2C50-030C-1DE32E6A5B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591909</xdr:colOff>
      <xdr:row>244</xdr:row>
      <xdr:rowOff>70756</xdr:rowOff>
    </xdr:from>
    <xdr:to>
      <xdr:col>15</xdr:col>
      <xdr:colOff>272141</xdr:colOff>
      <xdr:row>260</xdr:row>
      <xdr:rowOff>27213</xdr:rowOff>
    </xdr:to>
    <xdr:graphicFrame macro="">
      <xdr:nvGraphicFramePr>
        <xdr:cNvPr id="11" name="Chart 10">
          <a:extLst>
            <a:ext uri="{FF2B5EF4-FFF2-40B4-BE49-F238E27FC236}">
              <a16:creationId xmlns:a16="http://schemas.microsoft.com/office/drawing/2014/main" id="{91CA2479-526D-6810-0530-462675D6B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319768</xdr:colOff>
      <xdr:row>263</xdr:row>
      <xdr:rowOff>16328</xdr:rowOff>
    </xdr:from>
    <xdr:to>
      <xdr:col>14</xdr:col>
      <xdr:colOff>176893</xdr:colOff>
      <xdr:row>271</xdr:row>
      <xdr:rowOff>108858</xdr:rowOff>
    </xdr:to>
    <xdr:graphicFrame macro="">
      <xdr:nvGraphicFramePr>
        <xdr:cNvPr id="12" name="Chart 11">
          <a:extLst>
            <a:ext uri="{FF2B5EF4-FFF2-40B4-BE49-F238E27FC236}">
              <a16:creationId xmlns:a16="http://schemas.microsoft.com/office/drawing/2014/main" id="{35F31DBA-45BB-4A67-E8AA-8E3FFB8396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428625</xdr:colOff>
      <xdr:row>289</xdr:row>
      <xdr:rowOff>125186</xdr:rowOff>
    </xdr:from>
    <xdr:to>
      <xdr:col>17</xdr:col>
      <xdr:colOff>312964</xdr:colOff>
      <xdr:row>304</xdr:row>
      <xdr:rowOff>108858</xdr:rowOff>
    </xdr:to>
    <xdr:graphicFrame macro="">
      <xdr:nvGraphicFramePr>
        <xdr:cNvPr id="13" name="Chart 12">
          <a:extLst>
            <a:ext uri="{FF2B5EF4-FFF2-40B4-BE49-F238E27FC236}">
              <a16:creationId xmlns:a16="http://schemas.microsoft.com/office/drawing/2014/main" id="{A22E57E9-4799-B41E-31E2-F9686C1150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eqt08\TELECOM\TELECOM\EXCEL\FIXED\Old\KPN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jsv002\user%20folder2\Accounting\&#20104;&#23455;&#38306;&#36899;\_FY06&#20104;&#23455;\_Reporting\_&#12381;&#12398;&#20182;BS&#12539;CF&#12539;Inventory\&#12381;&#12398;&#20182;&#12524;&#12509;&#12540;&#12488;&#12501;&#12449;&#12452;&#12523;-&#26368;&#26032;&#2925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able\corp-dfs\Financial%20Planning\REPORTING\2016\1Q16\Below%20the%20Line\Support\Net_IncomeBridge.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cable\Documents%20and%20Settings\PurvisR\Local%20Settings\Temporary%20Internet%20Files\OLK7F\Documents%20and%20Settings\PreeceS\Local%20Settings\Temporary%20Internet%20Files\OLK22\Overhead%20Consolidation%20December%20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jsv002\user%20folder2\Accounting\&#20104;&#23455;&#38306;&#36899;\_FY04&#20104;&#23455;\_&#12381;&#12398;&#20182;\200405&#35211;&#36796;&#12415;&#1238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jsv002\user%20folder2\Accounting\&#20104;&#23455;&#38306;&#36899;\_FY06&#20104;&#23455;\_Reporting\_PL&#38306;&#36899;\FY06_&#37096;&#38263;&#20250;&#29992;&#36039;&#26009;&#20316;&#25104;&#65420;&#65383;&#65394;&#65433;-&#26368;&#26032;&#2925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App3\common\CORPACCT\Financial%20Reporting\SEC\FORM10-Q\2004\3Q%202004\Corporate\workpapers\Debt%20Report%209-30-2004%20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jsv002\user%20folder2\Accounting\&#20104;&#23455;&#38306;&#36899;\_FY05&#20104;&#23455;\_Package\&#20840;&#31038;&#65381;&#37096;&#21029;&#22522;&#30990;Data&#21152;&#24037;&#20966;&#29702;_&#26368;&#26032;&#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dcfil02\CHQ_users\ghorn00\My%20Documents\VoIP%20Model\Cisco%20VoIP%20Model%20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OCKS\EUROPE\UK\BT\Models\Current\BT5%20Broadband%20Scenari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OCKS\EUROPE\UK\VOD\Models\Current\Vodafone(2sep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ELECOMS/STOCKS/ASIA%20(ex-Japan)%20Internet/Tech%20analyser%20v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gb24506\restore\23010101\TELC\TELCOS\UK\BT\NEWERA\BTMODEL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jsv002\user%20folder2\Planning\FLASH%20SUMMARY\050912%20Flash%20Daily%20Report\Back%20Up&#29992;\Back%20Up&#29992;\EMM%20%20&#23455;&#32318;Review.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Startup" Target="TELCO/MODELS/Emerging/TPSA_WI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able\finance\TAX51A\COBB\EXCEL\CASHFLOW\2005\1st%20Qtr%202005\FAS%20115%20Tax%201Q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N"/>
      <sheetName val="REVENUES"/>
      <sheetName val="KPNMODEL"/>
      <sheetName val="KPNCASH"/>
      <sheetName val="Analytics"/>
      <sheetName val="Imports"/>
      <sheetName val="MOBILE"/>
      <sheetName val="MOBDCF"/>
      <sheetName val="POSTVAL"/>
      <sheetName val="TNT"/>
      <sheetName val="KPNSUM"/>
      <sheetName val="TELDCF"/>
      <sheetName val="COC"/>
      <sheetName val="SHARES"/>
      <sheetName val="MRS data"/>
      <sheetName val="report imports"/>
      <sheetName val="Data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_ID"/>
      <sheetName val="★ﾒﾆｭｰ"/>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d"/>
      <sheetName val="Ref"/>
      <sheetName val="WaterFall_Prep"/>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Z"/>
      <sheetName val="BEN"/>
      <sheetName val="BRA"/>
      <sheetName val="CE"/>
      <sheetName val="FRA"/>
      <sheetName val="ITA"/>
      <sheetName val="JPN"/>
      <sheetName val="KOR"/>
      <sheetName val="MEX"/>
      <sheetName val="NOR"/>
      <sheetName val="SPA"/>
      <sheetName val="UK"/>
      <sheetName val="UPIBV"/>
      <sheetName val="UPIO"/>
      <sheetName val="UPV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ﾃﾞｰﾀ"/>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 Debt Roll"/>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ﾃﾞｰﾀ加工(MTD)"/>
      <sheetName val="ﾃﾞｰﾀ加工(YTD)"/>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pment"/>
      <sheetName val="Model"/>
      <sheetName val="Financial Statements"/>
      <sheetName val="Capex"/>
      <sheetName val="Capex Input"/>
      <sheetName val="Results"/>
      <sheetName val="BTS Tabl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Group"/>
      <sheetName val="Quarterlies"/>
      <sheetName val="Valuation"/>
      <sheetName val="Wireline"/>
      <sheetName val="Market"/>
      <sheetName val="Outpayments"/>
      <sheetName val="Sheet1"/>
      <sheetName val="Global Services"/>
      <sheetName val="FRS17"/>
      <sheetName val="George"/>
      <sheetName val="Cost Analy"/>
      <sheetName val="charts"/>
      <sheetName val="questions"/>
      <sheetName val="IM"/>
      <sheetName val="Debt"/>
      <sheetName val="debt 20F"/>
      <sheetName val="Debt ratios"/>
      <sheetName val="Charts Jan 05"/>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refreshError="1">
        <row r="12">
          <cell r="K12" t="str">
            <v>UKP millions</v>
          </cell>
          <cell r="L12" t="str">
            <v>v3</v>
          </cell>
          <cell r="M12">
            <v>38008.59294386574</v>
          </cell>
        </row>
        <row r="13">
          <cell r="K13" t="str">
            <v>UKP millions</v>
          </cell>
          <cell r="L13" t="str">
            <v>v3</v>
          </cell>
          <cell r="M13">
            <v>38008.59294386574</v>
          </cell>
        </row>
        <row r="14">
          <cell r="K14" t="str">
            <v>UKP millions</v>
          </cell>
          <cell r="L14" t="str">
            <v>v3</v>
          </cell>
          <cell r="M14">
            <v>38008.59294386574</v>
          </cell>
          <cell r="AA14">
            <v>12387.769999999999</v>
          </cell>
          <cell r="AB14">
            <v>13370</v>
          </cell>
          <cell r="AC14">
            <v>14067.191011100091</v>
          </cell>
          <cell r="AD14">
            <v>13817.320772919136</v>
          </cell>
          <cell r="AE14">
            <v>13809.68496666932</v>
          </cell>
          <cell r="AF14">
            <v>14082.449148150023</v>
          </cell>
          <cell r="AG14">
            <v>14129.228105830436</v>
          </cell>
          <cell r="AH14">
            <v>14140.064355242996</v>
          </cell>
          <cell r="AI14">
            <v>14087.20710586432</v>
          </cell>
          <cell r="AJ14">
            <v>14021.5411091519</v>
          </cell>
          <cell r="AK14">
            <v>13940.313693105927</v>
          </cell>
          <cell r="AL14">
            <v>13823.741864644662</v>
          </cell>
        </row>
        <row r="15">
          <cell r="K15" t="str">
            <v>UKP millions</v>
          </cell>
          <cell r="L15" t="str">
            <v>v3</v>
          </cell>
          <cell r="M15">
            <v>38008.59294386574</v>
          </cell>
          <cell r="AA15">
            <v>344.75</v>
          </cell>
          <cell r="AB15">
            <v>361.17999999999984</v>
          </cell>
          <cell r="AC15">
            <v>330.4422676171057</v>
          </cell>
          <cell r="AD15">
            <v>394.19119123862538</v>
          </cell>
          <cell r="AE15">
            <v>354.05332148453499</v>
          </cell>
          <cell r="AF15">
            <v>162.16521066052019</v>
          </cell>
          <cell r="AG15">
            <v>124.76613676321813</v>
          </cell>
          <cell r="AH15">
            <v>167.77386253554914</v>
          </cell>
          <cell r="AI15">
            <v>194.12031483954661</v>
          </cell>
          <cell r="AJ15">
            <v>214.03415076793772</v>
          </cell>
          <cell r="AK15">
            <v>226.06293048617135</v>
          </cell>
          <cell r="AL15">
            <v>226.34094569312174</v>
          </cell>
        </row>
        <row r="16">
          <cell r="K16" t="str">
            <v>UKP millions</v>
          </cell>
          <cell r="L16" t="str">
            <v>v3</v>
          </cell>
          <cell r="M16">
            <v>38008.59294386574</v>
          </cell>
        </row>
        <row r="17">
          <cell r="K17" t="str">
            <v>UKP millions</v>
          </cell>
          <cell r="L17" t="str">
            <v>v3</v>
          </cell>
          <cell r="M17">
            <v>38008.59294386574</v>
          </cell>
          <cell r="W17">
            <v>721.7593283582089</v>
          </cell>
          <cell r="X17">
            <v>810.6343283582089</v>
          </cell>
          <cell r="Y17">
            <v>1081.6809701492537</v>
          </cell>
          <cell r="Z17">
            <v>1535.1940298507461</v>
          </cell>
          <cell r="AA17">
            <v>1941.75</v>
          </cell>
          <cell r="AB17">
            <v>1898.57</v>
          </cell>
          <cell r="AC17">
            <v>1769.3858</v>
          </cell>
          <cell r="AD17">
            <v>1663.2226519999999</v>
          </cell>
          <cell r="AE17">
            <v>1587.9857739199999</v>
          </cell>
          <cell r="AF17">
            <v>1524.4663429631996</v>
          </cell>
          <cell r="AG17">
            <v>1463.4876892446719</v>
          </cell>
          <cell r="AH17">
            <v>1404.9481816748851</v>
          </cell>
          <cell r="AI17">
            <v>1348.7502544078893</v>
          </cell>
          <cell r="AJ17">
            <v>1294.8002442315737</v>
          </cell>
          <cell r="AK17">
            <v>1243.0082344623108</v>
          </cell>
          <cell r="AL17">
            <v>1193.2879050838183</v>
          </cell>
        </row>
        <row r="18">
          <cell r="K18" t="str">
            <v>UKP millions</v>
          </cell>
          <cell r="L18" t="str">
            <v>v3</v>
          </cell>
          <cell r="M18">
            <v>38008.59294386574</v>
          </cell>
          <cell r="W18">
            <v>448.97867803837971</v>
          </cell>
          <cell r="X18">
            <v>504.26439232409399</v>
          </cell>
          <cell r="Y18">
            <v>672.87206823027725</v>
          </cell>
          <cell r="Z18">
            <v>954.98507462686575</v>
          </cell>
          <cell r="AA18">
            <v>1239.75</v>
          </cell>
          <cell r="AB18">
            <v>1309</v>
          </cell>
          <cell r="AC18">
            <v>1279.5475000000001</v>
          </cell>
          <cell r="AD18">
            <v>1241.161075</v>
          </cell>
          <cell r="AE18">
            <v>1203.9262427499998</v>
          </cell>
          <cell r="AF18">
            <v>1194.6889569999998</v>
          </cell>
          <cell r="AG18">
            <v>1194.6889569999998</v>
          </cell>
          <cell r="AH18">
            <v>1194.6889569999998</v>
          </cell>
          <cell r="AI18">
            <v>1194.6889569999998</v>
          </cell>
          <cell r="AJ18">
            <v>1194.6889569999998</v>
          </cell>
          <cell r="AK18">
            <v>1194.6889569999998</v>
          </cell>
          <cell r="AL18">
            <v>1194.6889569999998</v>
          </cell>
        </row>
        <row r="19">
          <cell r="K19" t="str">
            <v>UKP millions</v>
          </cell>
          <cell r="L19" t="str">
            <v>v3</v>
          </cell>
          <cell r="M19">
            <v>38008.59294386574</v>
          </cell>
          <cell r="W19">
            <v>1170.7380063965884</v>
          </cell>
          <cell r="X19">
            <v>1314.8987206823028</v>
          </cell>
          <cell r="Y19">
            <v>1754.553038379531</v>
          </cell>
          <cell r="Z19">
            <v>2490.1791044776119</v>
          </cell>
          <cell r="AA19">
            <v>3181.5</v>
          </cell>
          <cell r="AB19">
            <v>3207.57</v>
          </cell>
          <cell r="AC19">
            <v>3048.9333000000001</v>
          </cell>
          <cell r="AD19">
            <v>2904.3837269999999</v>
          </cell>
          <cell r="AE19">
            <v>2791.91201667</v>
          </cell>
          <cell r="AF19">
            <v>2719.1552999631995</v>
          </cell>
          <cell r="AG19">
            <v>2658.1766462446712</v>
          </cell>
          <cell r="AH19">
            <v>2599.6371386748847</v>
          </cell>
          <cell r="AI19">
            <v>2543.4392114078892</v>
          </cell>
          <cell r="AJ19">
            <v>2489.4892012315736</v>
          </cell>
          <cell r="AK19">
            <v>2437.6971914623105</v>
          </cell>
          <cell r="AL19">
            <v>2387.9768620838181</v>
          </cell>
        </row>
        <row r="20">
          <cell r="K20" t="str">
            <v>UKP millions</v>
          </cell>
          <cell r="L20" t="str">
            <v>v3</v>
          </cell>
          <cell r="M20">
            <v>38008.59294386574</v>
          </cell>
          <cell r="AA20">
            <v>3526.25</v>
          </cell>
          <cell r="AB20">
            <v>3568.75</v>
          </cell>
          <cell r="AC20">
            <v>3379.3755676171058</v>
          </cell>
          <cell r="AD20">
            <v>3298.5749182386253</v>
          </cell>
          <cell r="AE20">
            <v>3145.9653381545349</v>
          </cell>
          <cell r="AF20">
            <v>2881.3205106237197</v>
          </cell>
          <cell r="AG20">
            <v>2782.9427830078894</v>
          </cell>
          <cell r="AH20">
            <v>2767.4110012104338</v>
          </cell>
          <cell r="AI20">
            <v>2737.5595262474358</v>
          </cell>
          <cell r="AJ20">
            <v>2703.5233519995113</v>
          </cell>
          <cell r="AK20">
            <v>2663.7601219484818</v>
          </cell>
          <cell r="AL20">
            <v>2614.3178077769398</v>
          </cell>
        </row>
        <row r="21">
          <cell r="K21" t="str">
            <v>UKP millions</v>
          </cell>
          <cell r="L21" t="str">
            <v>v3</v>
          </cell>
          <cell r="M21">
            <v>38008.59294386574</v>
          </cell>
          <cell r="AA21">
            <v>819.37999999999988</v>
          </cell>
          <cell r="AB21">
            <v>445.25</v>
          </cell>
          <cell r="AC21">
            <v>582.88414993538868</v>
          </cell>
          <cell r="AD21">
            <v>641.48201070082541</v>
          </cell>
          <cell r="AE21">
            <v>699.17210170468263</v>
          </cell>
          <cell r="AF21">
            <v>755.82983505789366</v>
          </cell>
          <cell r="AG21">
            <v>809.80310581909021</v>
          </cell>
          <cell r="AH21">
            <v>853.8763578963642</v>
          </cell>
          <cell r="AI21">
            <v>888.39280864194222</v>
          </cell>
          <cell r="AJ21">
            <v>919.94926442896531</v>
          </cell>
          <cell r="AK21">
            <v>950.43277877101912</v>
          </cell>
          <cell r="AL21">
            <v>975.29784627268793</v>
          </cell>
        </row>
        <row r="22">
          <cell r="K22" t="str">
            <v>UKP millions</v>
          </cell>
          <cell r="L22" t="str">
            <v>v3</v>
          </cell>
          <cell r="M22">
            <v>38008.59294386574</v>
          </cell>
          <cell r="AA22">
            <v>16733.399999999998</v>
          </cell>
          <cell r="AB22">
            <v>17384</v>
          </cell>
          <cell r="AC22">
            <v>18029.450728652584</v>
          </cell>
          <cell r="AD22">
            <v>17757.37770185859</v>
          </cell>
          <cell r="AE22">
            <v>17654.822406528539</v>
          </cell>
          <cell r="AF22">
            <v>17719.599493831636</v>
          </cell>
          <cell r="AG22">
            <v>17721.973994657415</v>
          </cell>
          <cell r="AH22">
            <v>17761.351714349792</v>
          </cell>
          <cell r="AI22">
            <v>17713.159440753698</v>
          </cell>
          <cell r="AJ22">
            <v>17645.013725580375</v>
          </cell>
          <cell r="AK22">
            <v>17554.50659382543</v>
          </cell>
          <cell r="AL22">
            <v>17413.357518694291</v>
          </cell>
        </row>
        <row r="24">
          <cell r="L24" t="str">
            <v>v3</v>
          </cell>
          <cell r="M24">
            <v>38008.59294386574</v>
          </cell>
        </row>
        <row r="25">
          <cell r="L25" t="str">
            <v>v3</v>
          </cell>
          <cell r="M25">
            <v>38008.59294386574</v>
          </cell>
        </row>
        <row r="26">
          <cell r="L26" t="str">
            <v>v3</v>
          </cell>
          <cell r="M26">
            <v>38008.59294386574</v>
          </cell>
          <cell r="AA26" t="e">
            <v>#REF!</v>
          </cell>
          <cell r="AB26" t="e">
            <v>#REF!</v>
          </cell>
          <cell r="AC26" t="e">
            <v>#REF!</v>
          </cell>
          <cell r="AD26" t="e">
            <v>#REF!</v>
          </cell>
          <cell r="AE26" t="e">
            <v>#REF!</v>
          </cell>
          <cell r="AF26" t="e">
            <v>#REF!</v>
          </cell>
          <cell r="AG26" t="e">
            <v>#REF!</v>
          </cell>
          <cell r="AH26" t="e">
            <v>#REF!</v>
          </cell>
          <cell r="AI26" t="e">
            <v>#REF!</v>
          </cell>
          <cell r="AJ26" t="e">
            <v>#REF!</v>
          </cell>
          <cell r="AK26" t="e">
            <v>#REF!</v>
          </cell>
          <cell r="AL26" t="e">
            <v>#REF!</v>
          </cell>
        </row>
        <row r="27">
          <cell r="K27" t="str">
            <v>UKP millions</v>
          </cell>
          <cell r="L27" t="str">
            <v>v3</v>
          </cell>
          <cell r="M27">
            <v>38008.59294386574</v>
          </cell>
        </row>
        <row r="28">
          <cell r="K28" t="str">
            <v>UKP millions</v>
          </cell>
          <cell r="L28" t="str">
            <v>v3</v>
          </cell>
          <cell r="M28">
            <v>38008.59294386574</v>
          </cell>
        </row>
        <row r="29">
          <cell r="K29" t="str">
            <v>UKP millions</v>
          </cell>
          <cell r="L29" t="str">
            <v>v3</v>
          </cell>
          <cell r="M29">
            <v>38008.59294386574</v>
          </cell>
          <cell r="AA29" t="e">
            <v>#REF!</v>
          </cell>
          <cell r="AB29" t="e">
            <v>#REF!</v>
          </cell>
          <cell r="AC29" t="e">
            <v>#REF!</v>
          </cell>
          <cell r="AD29" t="e">
            <v>#REF!</v>
          </cell>
          <cell r="AE29" t="e">
            <v>#REF!</v>
          </cell>
          <cell r="AF29" t="e">
            <v>#REF!</v>
          </cell>
          <cell r="AG29" t="e">
            <v>#REF!</v>
          </cell>
          <cell r="AH29" t="e">
            <v>#REF!</v>
          </cell>
          <cell r="AI29" t="e">
            <v>#REF!</v>
          </cell>
          <cell r="AJ29" t="e">
            <v>#REF!</v>
          </cell>
          <cell r="AK29" t="e">
            <v>#REF!</v>
          </cell>
          <cell r="AL29" t="e">
            <v>#REF!</v>
          </cell>
        </row>
        <row r="31">
          <cell r="L31" t="str">
            <v>v3</v>
          </cell>
          <cell r="M31">
            <v>38008.59294386574</v>
          </cell>
        </row>
        <row r="32">
          <cell r="L32" t="str">
            <v>v3</v>
          </cell>
          <cell r="M32">
            <v>38008.59294386574</v>
          </cell>
        </row>
        <row r="33">
          <cell r="L33" t="str">
            <v>v3</v>
          </cell>
          <cell r="M33">
            <v>38008.59294386574</v>
          </cell>
        </row>
        <row r="34">
          <cell r="L34" t="str">
            <v>v3</v>
          </cell>
          <cell r="M34">
            <v>38008.59294386574</v>
          </cell>
        </row>
        <row r="35">
          <cell r="L35" t="str">
            <v>v3</v>
          </cell>
          <cell r="M35">
            <v>38008.59294386574</v>
          </cell>
          <cell r="W35" t="e">
            <v>#REF!</v>
          </cell>
          <cell r="X35" t="e">
            <v>#REF!</v>
          </cell>
          <cell r="Y35" t="e">
            <v>#REF!</v>
          </cell>
          <cell r="Z35" t="e">
            <v>#REF!</v>
          </cell>
          <cell r="AA35" t="e">
            <v>#REF!</v>
          </cell>
          <cell r="AB35" t="e">
            <v>#REF!</v>
          </cell>
          <cell r="AC35" t="e">
            <v>#REF!</v>
          </cell>
          <cell r="AD35" t="e">
            <v>#REF!</v>
          </cell>
          <cell r="AE35" t="e">
            <v>#REF!</v>
          </cell>
          <cell r="AF35" t="e">
            <v>#REF!</v>
          </cell>
          <cell r="AG35" t="e">
            <v>#REF!</v>
          </cell>
          <cell r="AH35" t="e">
            <v>#REF!</v>
          </cell>
          <cell r="AI35" t="e">
            <v>#REF!</v>
          </cell>
          <cell r="AJ35" t="e">
            <v>#REF!</v>
          </cell>
          <cell r="AK35" t="e">
            <v>#REF!</v>
          </cell>
          <cell r="AL35" t="e">
            <v>#REF!</v>
          </cell>
        </row>
        <row r="36">
          <cell r="L36" t="str">
            <v>v3</v>
          </cell>
          <cell r="M36">
            <v>38008.59294386574</v>
          </cell>
        </row>
        <row r="37">
          <cell r="L37" t="str">
            <v>v3</v>
          </cell>
          <cell r="M37">
            <v>38008.59294386574</v>
          </cell>
        </row>
        <row r="38">
          <cell r="L38" t="str">
            <v>v3</v>
          </cell>
          <cell r="M38">
            <v>38008.59294386574</v>
          </cell>
        </row>
        <row r="39">
          <cell r="L39" t="str">
            <v>v3</v>
          </cell>
          <cell r="M39">
            <v>38008.59294386574</v>
          </cell>
        </row>
        <row r="40">
          <cell r="L40" t="str">
            <v>v3</v>
          </cell>
          <cell r="M40">
            <v>38008.59294386574</v>
          </cell>
        </row>
        <row r="41">
          <cell r="L41" t="str">
            <v>v3</v>
          </cell>
          <cell r="M41">
            <v>38008.59294386574</v>
          </cell>
        </row>
        <row r="42">
          <cell r="L42" t="str">
            <v>v3</v>
          </cell>
          <cell r="M42">
            <v>38008.59294386574</v>
          </cell>
        </row>
        <row r="43">
          <cell r="L43" t="str">
            <v>v3</v>
          </cell>
          <cell r="M43">
            <v>38008.59294386574</v>
          </cell>
          <cell r="W43" t="e">
            <v>#REF!</v>
          </cell>
          <cell r="X43" t="e">
            <v>#REF!</v>
          </cell>
          <cell r="Y43" t="e">
            <v>#REF!</v>
          </cell>
          <cell r="Z43" t="e">
            <v>#REF!</v>
          </cell>
          <cell r="AA43" t="e">
            <v>#REF!</v>
          </cell>
          <cell r="AB43" t="e">
            <v>#REF!</v>
          </cell>
          <cell r="AC43" t="e">
            <v>#REF!</v>
          </cell>
          <cell r="AD43" t="e">
            <v>#REF!</v>
          </cell>
          <cell r="AE43" t="e">
            <v>#REF!</v>
          </cell>
          <cell r="AF43" t="e">
            <v>#REF!</v>
          </cell>
          <cell r="AG43" t="e">
            <v>#REF!</v>
          </cell>
          <cell r="AH43" t="e">
            <v>#REF!</v>
          </cell>
          <cell r="AI43" t="e">
            <v>#REF!</v>
          </cell>
          <cell r="AJ43" t="e">
            <v>#REF!</v>
          </cell>
          <cell r="AK43" t="e">
            <v>#REF!</v>
          </cell>
          <cell r="AL43" t="e">
            <v>#REF!</v>
          </cell>
        </row>
        <row r="44">
          <cell r="L44" t="str">
            <v>v3</v>
          </cell>
          <cell r="M44">
            <v>38008.59294386574</v>
          </cell>
          <cell r="W44">
            <v>26582</v>
          </cell>
          <cell r="X44">
            <v>25816</v>
          </cell>
          <cell r="Y44">
            <v>25703</v>
          </cell>
          <cell r="Z44">
            <v>25306</v>
          </cell>
          <cell r="AA44">
            <v>25036</v>
          </cell>
          <cell r="AB44">
            <v>25402</v>
          </cell>
          <cell r="AC44">
            <v>25345</v>
          </cell>
          <cell r="AD44">
            <v>24885.325423607123</v>
          </cell>
          <cell r="AE44">
            <v>24330.42903683228</v>
          </cell>
          <cell r="AF44">
            <v>23784.142045250574</v>
          </cell>
          <cell r="AG44">
            <v>23246.347750596819</v>
          </cell>
          <cell r="AH44">
            <v>22716.930927631613</v>
          </cell>
          <cell r="AI44">
            <v>22195.777806350652</v>
          </cell>
          <cell r="AJ44">
            <v>21682.776054402548</v>
          </cell>
          <cell r="AK44">
            <v>21177.814759712768</v>
          </cell>
          <cell r="AL44">
            <v>20680.784413311347</v>
          </cell>
        </row>
        <row r="45">
          <cell r="L45" t="str">
            <v>v3</v>
          </cell>
          <cell r="M45">
            <v>38008.59294386574</v>
          </cell>
          <cell r="W45" t="e">
            <v>#REF!</v>
          </cell>
          <cell r="X45" t="e">
            <v>#REF!</v>
          </cell>
          <cell r="Y45" t="e">
            <v>#REF!</v>
          </cell>
          <cell r="Z45" t="e">
            <v>#REF!</v>
          </cell>
          <cell r="AA45" t="e">
            <v>#REF!</v>
          </cell>
          <cell r="AB45" t="e">
            <v>#REF!</v>
          </cell>
          <cell r="AC45" t="e">
            <v>#REF!</v>
          </cell>
          <cell r="AD45" t="e">
            <v>#REF!</v>
          </cell>
          <cell r="AE45" t="e">
            <v>#REF!</v>
          </cell>
          <cell r="AF45" t="e">
            <v>#REF!</v>
          </cell>
          <cell r="AG45" t="e">
            <v>#REF!</v>
          </cell>
          <cell r="AH45" t="e">
            <v>#REF!</v>
          </cell>
          <cell r="AI45" t="e">
            <v>#REF!</v>
          </cell>
          <cell r="AJ45" t="e">
            <v>#REF!</v>
          </cell>
          <cell r="AK45" t="e">
            <v>#REF!</v>
          </cell>
          <cell r="AL45" t="e">
            <v>#REF!</v>
          </cell>
        </row>
        <row r="46">
          <cell r="L46" t="str">
            <v>v3</v>
          </cell>
          <cell r="M46">
            <v>38008.59294386574</v>
          </cell>
          <cell r="W46" t="e">
            <v>#REF!</v>
          </cell>
          <cell r="X46" t="e">
            <v>#REF!</v>
          </cell>
          <cell r="Y46" t="e">
            <v>#REF!</v>
          </cell>
          <cell r="Z46" t="e">
            <v>#REF!</v>
          </cell>
          <cell r="AA46" t="e">
            <v>#REF!</v>
          </cell>
          <cell r="AB46" t="e">
            <v>#REF!</v>
          </cell>
          <cell r="AC46" t="e">
            <v>#REF!</v>
          </cell>
          <cell r="AD46" t="e">
            <v>#REF!</v>
          </cell>
          <cell r="AE46" t="e">
            <v>#REF!</v>
          </cell>
          <cell r="AF46" t="e">
            <v>#REF!</v>
          </cell>
          <cell r="AG46" t="e">
            <v>#REF!</v>
          </cell>
          <cell r="AH46" t="e">
            <v>#REF!</v>
          </cell>
          <cell r="AI46" t="e">
            <v>#REF!</v>
          </cell>
          <cell r="AJ46" t="e">
            <v>#REF!</v>
          </cell>
          <cell r="AK46" t="e">
            <v>#REF!</v>
          </cell>
          <cell r="AL46" t="e">
            <v>#REF!</v>
          </cell>
        </row>
        <row r="48">
          <cell r="L48" t="str">
            <v>v3</v>
          </cell>
          <cell r="M48">
            <v>38008.59294386574</v>
          </cell>
          <cell r="AA48">
            <v>85523</v>
          </cell>
          <cell r="AB48">
            <v>82490</v>
          </cell>
        </row>
      </sheetData>
      <sheetData sheetId="15"/>
      <sheetData sheetId="16"/>
      <sheetData sheetId="17"/>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TP"/>
      <sheetName val="P&amp;L"/>
      <sheetName val="BS"/>
      <sheetName val="CF"/>
      <sheetName val="Cons. Revs"/>
      <sheetName val="Prop. Revs"/>
      <sheetName val="Cons. EBITDA"/>
      <sheetName val="Prop. EBITDA"/>
      <sheetName val="EBITDA Margins"/>
      <sheetName val="Capex"/>
      <sheetName val="USA"/>
      <sheetName val="UK"/>
      <sheetName val="Germany"/>
      <sheetName val="Italy"/>
      <sheetName val="J-Phone"/>
      <sheetName val="Spain"/>
      <sheetName val="Ireland"/>
      <sheetName val="Egypt"/>
      <sheetName val="Australia"/>
      <sheetName val="NZ"/>
      <sheetName val="NL"/>
      <sheetName val="Greece"/>
      <sheetName val="Portugal"/>
      <sheetName val="Sweden"/>
      <sheetName val="Switzerland"/>
      <sheetName val="Jap Fixed"/>
      <sheetName val="SFR"/>
      <sheetName val="Belgium"/>
      <sheetName val="Arcor"/>
      <sheetName val="Cegetel7"/>
      <sheetName val="Depreciaton schedule"/>
      <sheetName val="Cash Tax"/>
      <sheetName val="Bill"/>
      <sheetName val="Multip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BTOW"/>
      <sheetName val="MELI"/>
      <sheetName val="BAI"/>
      <sheetName val="TC"/>
      <sheetName val="QH"/>
      <sheetName val="REN"/>
      <sheetName val="SINA"/>
      <sheetName val="WB"/>
      <sheetName val="CA"/>
      <sheetName val="DNA"/>
      <sheetName val="GR"/>
      <sheetName val="NEX"/>
      <sheetName val="RAK"/>
      <sheetName val="YJP"/>
      <sheetName val="BTOW1"/>
      <sheetName val="MELI1"/>
      <sheetName val="BAI1"/>
      <sheetName val="TC1"/>
      <sheetName val="QH1"/>
      <sheetName val="REN1"/>
      <sheetName val="SINA1"/>
      <sheetName val="WB1"/>
      <sheetName val="CA1"/>
      <sheetName val="DNA1"/>
      <sheetName val="GR1"/>
      <sheetName val="NEX1"/>
      <sheetName val="RAK1"/>
      <sheetName val="YJP1"/>
      <sheetName val="Global comps"/>
      <sheetName val="Consensus data"/>
      <sheetName val="Share prices"/>
    </sheetNames>
    <sheetDataSet>
      <sheetData sheetId="0">
        <row r="84">
          <cell r="C84">
            <v>1.52207</v>
          </cell>
        </row>
        <row r="86">
          <cell r="C86">
            <v>2.2357999999999998</v>
          </cell>
        </row>
        <row r="87">
          <cell r="C87">
            <v>99.71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1">
          <cell r="C41">
            <v>0.39643310566492568</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link"/>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3FY 2nd Hafl Latest Estimate"/>
      <sheetName val="WeeklyData"/>
      <sheetName val="Sheet3"/>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stats"/>
      <sheetName val="Report Template"/>
      <sheetName val="Shareholder Structure"/>
      <sheetName val="Tariffs&amp;Traffic"/>
      <sheetName val="TPSA_Model"/>
      <sheetName val="__FDSCACHE__"/>
      <sheetName val="GSM"/>
      <sheetName val="Centertel_Model"/>
      <sheetName val="Centertel Consolidations"/>
      <sheetName val="TPSA_Capex"/>
      <sheetName val="TPSA_Group"/>
      <sheetName val="mwareValPrintout"/>
      <sheetName val="mwareTaxoPres"/>
      <sheetName val="Group_DCF"/>
      <sheetName val="Valuation Multiples"/>
      <sheetName val="Valuation Chart"/>
      <sheetName val="TPSA Q"/>
      <sheetName val="Dividend Chart"/>
      <sheetName val="Quarterly"/>
      <sheetName val="Consensus"/>
      <sheetName val="Mobile Ops Summary"/>
      <sheetName val="Centertel_Fins"/>
      <sheetName val="IS(PAS)consol"/>
      <sheetName val="CF(PAS)unconsol"/>
      <sheetName val="IS(PAS)unconsol"/>
      <sheetName val="GE 2"/>
      <sheetName val="Debt Summary"/>
      <sheetName val="Changes"/>
      <sheetName val="Benchmarking"/>
      <sheetName val="Chart Data"/>
      <sheetName val="Charts"/>
      <sheetName val="Sublink churn"/>
      <sheetName val="Link"/>
      <sheetName val="GE Upload"/>
      <sheetName val="FT-Link"/>
      <sheetName val="mwareDates"/>
      <sheetName val="Operational Changes"/>
      <sheetName val="mwarePreview"/>
      <sheetName val="Taglink"/>
      <sheetName val="MSAM Link"/>
      <sheetName val="TPSAQ link"/>
      <sheetName val="Quarterly_Table"/>
      <sheetName val="Quarterly Segments"/>
      <sheetName val="BS(PAS)unconsol"/>
      <sheetName val="CF(PAS)consol"/>
      <sheetName val="BS(PAS)consol"/>
      <sheetName val="Proportional"/>
      <sheetName val="Centertel_DCF"/>
      <sheetName val="TPSA_DCF"/>
      <sheetName val="mwareSettings"/>
      <sheetName val="Cellular_Market"/>
      <sheetName val="NMT"/>
      <sheetName val="Relative Pricing"/>
      <sheetName val="Sheet1"/>
      <sheetName val="xbrldates"/>
      <sheetName val="xbrlPreview"/>
      <sheetName val="xbrlSettings"/>
      <sheetName val="TPSA_WIP"/>
      <sheetName val="Macro_Assumptions"/>
      <sheetName val="MWare_Cached"/>
    </sheetNames>
    <sheetDataSet>
      <sheetData sheetId="0" refreshError="1"/>
      <sheetData sheetId="1" refreshError="1"/>
      <sheetData sheetId="2" refreshError="1"/>
      <sheetData sheetId="3" refreshError="1"/>
      <sheetData sheetId="4" refreshError="1">
        <row r="468">
          <cell r="O468">
            <v>7427.9247366746959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Cost Repor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NSR Accent">
    <a:dk1>
      <a:sysClr val="windowText" lastClr="000000"/>
    </a:dk1>
    <a:lt1>
      <a:srgbClr val="FFFFFF"/>
    </a:lt1>
    <a:dk2>
      <a:srgbClr val="263238"/>
    </a:dk2>
    <a:lt2>
      <a:srgbClr val="ECEFF1"/>
    </a:lt2>
    <a:accent1>
      <a:srgbClr val="C7FE02"/>
    </a:accent1>
    <a:accent2>
      <a:srgbClr val="E3F982"/>
    </a:accent2>
    <a:accent3>
      <a:srgbClr val="F9663E"/>
    </a:accent3>
    <a:accent4>
      <a:srgbClr val="F19375"/>
    </a:accent4>
    <a:accent5>
      <a:srgbClr val="00CA94"/>
    </a:accent5>
    <a:accent6>
      <a:srgbClr val="80D4C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NSR Accent">
    <a:dk1>
      <a:sysClr val="windowText" lastClr="000000"/>
    </a:dk1>
    <a:lt1>
      <a:srgbClr val="FFFFFF"/>
    </a:lt1>
    <a:dk2>
      <a:srgbClr val="263238"/>
    </a:dk2>
    <a:lt2>
      <a:srgbClr val="ECEFF1"/>
    </a:lt2>
    <a:accent1>
      <a:srgbClr val="C7FE02"/>
    </a:accent1>
    <a:accent2>
      <a:srgbClr val="E3F982"/>
    </a:accent2>
    <a:accent3>
      <a:srgbClr val="F9663E"/>
    </a:accent3>
    <a:accent4>
      <a:srgbClr val="F19375"/>
    </a:accent4>
    <a:accent5>
      <a:srgbClr val="00CA94"/>
    </a:accent5>
    <a:accent6>
      <a:srgbClr val="80D4C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NSR Accent">
    <a:dk1>
      <a:sysClr val="windowText" lastClr="000000"/>
    </a:dk1>
    <a:lt1>
      <a:srgbClr val="FFFFFF"/>
    </a:lt1>
    <a:dk2>
      <a:srgbClr val="263238"/>
    </a:dk2>
    <a:lt2>
      <a:srgbClr val="ECEFF1"/>
    </a:lt2>
    <a:accent1>
      <a:srgbClr val="C7FE02"/>
    </a:accent1>
    <a:accent2>
      <a:srgbClr val="E3F982"/>
    </a:accent2>
    <a:accent3>
      <a:srgbClr val="F9663E"/>
    </a:accent3>
    <a:accent4>
      <a:srgbClr val="F19375"/>
    </a:accent4>
    <a:accent5>
      <a:srgbClr val="00CA94"/>
    </a:accent5>
    <a:accent6>
      <a:srgbClr val="80D4C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NSR Accent">
    <a:dk1>
      <a:sysClr val="windowText" lastClr="000000"/>
    </a:dk1>
    <a:lt1>
      <a:srgbClr val="FFFFFF"/>
    </a:lt1>
    <a:dk2>
      <a:srgbClr val="263238"/>
    </a:dk2>
    <a:lt2>
      <a:srgbClr val="ECEFF1"/>
    </a:lt2>
    <a:accent1>
      <a:srgbClr val="C7FE02"/>
    </a:accent1>
    <a:accent2>
      <a:srgbClr val="E3F982"/>
    </a:accent2>
    <a:accent3>
      <a:srgbClr val="F9663E"/>
    </a:accent3>
    <a:accent4>
      <a:srgbClr val="F19375"/>
    </a:accent4>
    <a:accent5>
      <a:srgbClr val="00CA94"/>
    </a:accent5>
    <a:accent6>
      <a:srgbClr val="80D4C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NSR Accent">
    <a:dk1>
      <a:sysClr val="windowText" lastClr="000000"/>
    </a:dk1>
    <a:lt1>
      <a:srgbClr val="FFFFFF"/>
    </a:lt1>
    <a:dk2>
      <a:srgbClr val="263238"/>
    </a:dk2>
    <a:lt2>
      <a:srgbClr val="ECEFF1"/>
    </a:lt2>
    <a:accent1>
      <a:srgbClr val="C7FE02"/>
    </a:accent1>
    <a:accent2>
      <a:srgbClr val="E3F982"/>
    </a:accent2>
    <a:accent3>
      <a:srgbClr val="F9663E"/>
    </a:accent3>
    <a:accent4>
      <a:srgbClr val="F19375"/>
    </a:accent4>
    <a:accent5>
      <a:srgbClr val="00CA94"/>
    </a:accent5>
    <a:accent6>
      <a:srgbClr val="80D4C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NSR Accent">
    <a:dk1>
      <a:sysClr val="windowText" lastClr="000000"/>
    </a:dk1>
    <a:lt1>
      <a:srgbClr val="FFFFFF"/>
    </a:lt1>
    <a:dk2>
      <a:srgbClr val="263238"/>
    </a:dk2>
    <a:lt2>
      <a:srgbClr val="ECEFF1"/>
    </a:lt2>
    <a:accent1>
      <a:srgbClr val="C7FE02"/>
    </a:accent1>
    <a:accent2>
      <a:srgbClr val="E3F982"/>
    </a:accent2>
    <a:accent3>
      <a:srgbClr val="F9663E"/>
    </a:accent3>
    <a:accent4>
      <a:srgbClr val="F19375"/>
    </a:accent4>
    <a:accent5>
      <a:srgbClr val="00CA94"/>
    </a:accent5>
    <a:accent6>
      <a:srgbClr val="80D4C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NSR Accent">
    <a:dk1>
      <a:sysClr val="windowText" lastClr="000000"/>
    </a:dk1>
    <a:lt1>
      <a:srgbClr val="FFFFFF"/>
    </a:lt1>
    <a:dk2>
      <a:srgbClr val="263238"/>
    </a:dk2>
    <a:lt2>
      <a:srgbClr val="ECEFF1"/>
    </a:lt2>
    <a:accent1>
      <a:srgbClr val="C7FE02"/>
    </a:accent1>
    <a:accent2>
      <a:srgbClr val="E3F982"/>
    </a:accent2>
    <a:accent3>
      <a:srgbClr val="F9663E"/>
    </a:accent3>
    <a:accent4>
      <a:srgbClr val="F19375"/>
    </a:accent4>
    <a:accent5>
      <a:srgbClr val="00CA94"/>
    </a:accent5>
    <a:accent6>
      <a:srgbClr val="80D4C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NSR Accent">
    <a:dk1>
      <a:sysClr val="windowText" lastClr="000000"/>
    </a:dk1>
    <a:lt1>
      <a:srgbClr val="FFFFFF"/>
    </a:lt1>
    <a:dk2>
      <a:srgbClr val="263238"/>
    </a:dk2>
    <a:lt2>
      <a:srgbClr val="ECEFF1"/>
    </a:lt2>
    <a:accent1>
      <a:srgbClr val="C7FE02"/>
    </a:accent1>
    <a:accent2>
      <a:srgbClr val="E3F982"/>
    </a:accent2>
    <a:accent3>
      <a:srgbClr val="F9663E"/>
    </a:accent3>
    <a:accent4>
      <a:srgbClr val="F19375"/>
    </a:accent4>
    <a:accent5>
      <a:srgbClr val="00CA94"/>
    </a:accent5>
    <a:accent6>
      <a:srgbClr val="80D4C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NSR Accent">
    <a:dk1>
      <a:sysClr val="windowText" lastClr="000000"/>
    </a:dk1>
    <a:lt1>
      <a:srgbClr val="FFFFFF"/>
    </a:lt1>
    <a:dk2>
      <a:srgbClr val="263238"/>
    </a:dk2>
    <a:lt2>
      <a:srgbClr val="ECEFF1"/>
    </a:lt2>
    <a:accent1>
      <a:srgbClr val="C7FE02"/>
    </a:accent1>
    <a:accent2>
      <a:srgbClr val="E3F982"/>
    </a:accent2>
    <a:accent3>
      <a:srgbClr val="F9663E"/>
    </a:accent3>
    <a:accent4>
      <a:srgbClr val="F19375"/>
    </a:accent4>
    <a:accent5>
      <a:srgbClr val="00CA94"/>
    </a:accent5>
    <a:accent6>
      <a:srgbClr val="80D4C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NSR Accent">
    <a:dk1>
      <a:sysClr val="windowText" lastClr="000000"/>
    </a:dk1>
    <a:lt1>
      <a:srgbClr val="FFFFFF"/>
    </a:lt1>
    <a:dk2>
      <a:srgbClr val="263238"/>
    </a:dk2>
    <a:lt2>
      <a:srgbClr val="ECEFF1"/>
    </a:lt2>
    <a:accent1>
      <a:srgbClr val="C7FE02"/>
    </a:accent1>
    <a:accent2>
      <a:srgbClr val="E3F982"/>
    </a:accent2>
    <a:accent3>
      <a:srgbClr val="F9663E"/>
    </a:accent3>
    <a:accent4>
      <a:srgbClr val="F19375"/>
    </a:accent4>
    <a:accent5>
      <a:srgbClr val="00CA94"/>
    </a:accent5>
    <a:accent6>
      <a:srgbClr val="80D4C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NSR Accent">
    <a:dk1>
      <a:sysClr val="windowText" lastClr="000000"/>
    </a:dk1>
    <a:lt1>
      <a:srgbClr val="FFFFFF"/>
    </a:lt1>
    <a:dk2>
      <a:srgbClr val="263238"/>
    </a:dk2>
    <a:lt2>
      <a:srgbClr val="ECEFF1"/>
    </a:lt2>
    <a:accent1>
      <a:srgbClr val="C7FE02"/>
    </a:accent1>
    <a:accent2>
      <a:srgbClr val="E3F982"/>
    </a:accent2>
    <a:accent3>
      <a:srgbClr val="F9663E"/>
    </a:accent3>
    <a:accent4>
      <a:srgbClr val="F19375"/>
    </a:accent4>
    <a:accent5>
      <a:srgbClr val="00CA94"/>
    </a:accent5>
    <a:accent6>
      <a:srgbClr val="80D4C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NSR Accent">
    <a:dk1>
      <a:sysClr val="windowText" lastClr="000000"/>
    </a:dk1>
    <a:lt1>
      <a:srgbClr val="FFFFFF"/>
    </a:lt1>
    <a:dk2>
      <a:srgbClr val="263238"/>
    </a:dk2>
    <a:lt2>
      <a:srgbClr val="ECEFF1"/>
    </a:lt2>
    <a:accent1>
      <a:srgbClr val="C7FE02"/>
    </a:accent1>
    <a:accent2>
      <a:srgbClr val="E3F982"/>
    </a:accent2>
    <a:accent3>
      <a:srgbClr val="F9663E"/>
    </a:accent3>
    <a:accent4>
      <a:srgbClr val="F19375"/>
    </a:accent4>
    <a:accent5>
      <a:srgbClr val="00CA94"/>
    </a:accent5>
    <a:accent6>
      <a:srgbClr val="80D4C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NSR Accent">
    <a:dk1>
      <a:sysClr val="windowText" lastClr="000000"/>
    </a:dk1>
    <a:lt1>
      <a:srgbClr val="FFFFFF"/>
    </a:lt1>
    <a:dk2>
      <a:srgbClr val="263238"/>
    </a:dk2>
    <a:lt2>
      <a:srgbClr val="ECEFF1"/>
    </a:lt2>
    <a:accent1>
      <a:srgbClr val="C7FE02"/>
    </a:accent1>
    <a:accent2>
      <a:srgbClr val="E3F982"/>
    </a:accent2>
    <a:accent3>
      <a:srgbClr val="F9663E"/>
    </a:accent3>
    <a:accent4>
      <a:srgbClr val="F19375"/>
    </a:accent4>
    <a:accent5>
      <a:srgbClr val="00CA94"/>
    </a:accent5>
    <a:accent6>
      <a:srgbClr val="80D4C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3BFB1-CD19-45C7-8DC5-3433CDE17550}">
  <dimension ref="A8:AU39"/>
  <sheetViews>
    <sheetView showGridLines="0" tabSelected="1" zoomScaleNormal="100" workbookViewId="0">
      <selection activeCell="A8" sqref="A8"/>
    </sheetView>
  </sheetViews>
  <sheetFormatPr defaultColWidth="8.5703125" defaultRowHeight="12" x14ac:dyDescent="0.2"/>
  <cols>
    <col min="1" max="1" width="15.140625" style="115" customWidth="1"/>
    <col min="2" max="2" width="12.42578125" style="115" customWidth="1"/>
    <col min="3" max="9" width="8.5703125" style="115"/>
    <col min="10" max="10" width="9.5703125" style="115" bestFit="1" customWidth="1"/>
    <col min="11" max="12" width="8.5703125" style="115"/>
    <col min="13" max="13" width="10.140625" style="115" bestFit="1" customWidth="1"/>
    <col min="14" max="20" width="8.5703125" style="115"/>
    <col min="21" max="21" width="7.28515625" style="115" bestFit="1" customWidth="1"/>
    <col min="22" max="16384" width="8.5703125" style="115"/>
  </cols>
  <sheetData>
    <row r="8" spans="1:20" ht="13.5" thickBot="1" x14ac:dyDescent="0.25">
      <c r="A8" s="113"/>
      <c r="B8" s="114"/>
      <c r="C8" s="114"/>
      <c r="D8" s="114"/>
      <c r="E8" s="114"/>
      <c r="F8" s="114"/>
      <c r="G8" s="114"/>
      <c r="H8" s="114"/>
      <c r="I8" s="114"/>
      <c r="J8" s="114"/>
      <c r="K8" s="114"/>
      <c r="L8" s="114"/>
      <c r="M8" s="114"/>
      <c r="N8" s="114"/>
      <c r="O8" s="114"/>
      <c r="P8" s="114"/>
      <c r="Q8" s="114"/>
      <c r="R8" s="114"/>
      <c r="S8" s="114"/>
      <c r="T8" s="114"/>
    </row>
    <row r="9" spans="1:20" x14ac:dyDescent="0.2">
      <c r="A9" s="116"/>
      <c r="B9" s="116"/>
      <c r="C9" s="116"/>
      <c r="D9" s="116"/>
      <c r="E9" s="116"/>
      <c r="F9" s="116"/>
      <c r="G9" s="116"/>
      <c r="H9" s="116"/>
      <c r="I9" s="116"/>
      <c r="J9" s="116"/>
      <c r="K9" s="116"/>
      <c r="L9" s="116"/>
      <c r="M9" s="116"/>
      <c r="N9" s="116"/>
      <c r="O9" s="116"/>
      <c r="P9" s="116"/>
      <c r="Q9" s="116"/>
      <c r="R9" s="116"/>
      <c r="S9" s="116"/>
      <c r="T9" s="116"/>
    </row>
    <row r="10" spans="1:20" x14ac:dyDescent="0.2">
      <c r="A10" s="116"/>
      <c r="B10" s="116"/>
      <c r="C10" s="116"/>
      <c r="D10" s="116"/>
      <c r="E10" s="116"/>
      <c r="F10" s="116"/>
      <c r="G10" s="116"/>
      <c r="H10" s="116"/>
      <c r="I10" s="116"/>
      <c r="J10" s="116"/>
      <c r="K10" s="116"/>
      <c r="L10" s="116"/>
      <c r="M10" s="116"/>
      <c r="N10" s="116"/>
      <c r="O10" s="116"/>
      <c r="P10" s="116"/>
      <c r="Q10" s="116"/>
      <c r="R10" s="116"/>
      <c r="S10" s="116"/>
      <c r="T10" s="116"/>
    </row>
    <row r="11" spans="1:20" x14ac:dyDescent="0.2">
      <c r="A11" s="116"/>
      <c r="B11" s="116"/>
      <c r="C11" s="116"/>
      <c r="D11" s="116"/>
      <c r="E11" s="116"/>
      <c r="F11" s="116"/>
      <c r="G11" s="116"/>
      <c r="H11" s="116"/>
      <c r="I11" s="116"/>
      <c r="J11" s="116"/>
      <c r="K11" s="116"/>
      <c r="L11" s="116"/>
      <c r="M11" s="116"/>
      <c r="N11" s="116"/>
      <c r="O11" s="116"/>
      <c r="P11" s="116"/>
      <c r="Q11" s="116"/>
      <c r="R11" s="116"/>
      <c r="S11" s="116"/>
      <c r="T11" s="116"/>
    </row>
    <row r="12" spans="1:20" x14ac:dyDescent="0.2">
      <c r="A12" s="116"/>
      <c r="B12" s="116"/>
      <c r="C12" s="116"/>
      <c r="D12" s="116"/>
      <c r="E12" s="116"/>
      <c r="F12" s="116"/>
      <c r="G12" s="116"/>
      <c r="H12" s="116"/>
      <c r="I12" s="116"/>
      <c r="J12" s="116"/>
      <c r="K12" s="116"/>
      <c r="L12" s="116"/>
      <c r="M12" s="116"/>
      <c r="N12" s="116"/>
      <c r="O12" s="116"/>
      <c r="P12" s="116"/>
      <c r="Q12" s="116"/>
      <c r="R12" s="116"/>
      <c r="S12" s="116"/>
      <c r="T12" s="116"/>
    </row>
    <row r="13" spans="1:20" ht="23.25" x14ac:dyDescent="0.35">
      <c r="A13" s="116"/>
      <c r="B13" s="117" t="s">
        <v>556</v>
      </c>
      <c r="C13" s="116"/>
      <c r="D13" s="116"/>
      <c r="E13" s="116"/>
      <c r="F13" s="116"/>
      <c r="G13" s="116"/>
      <c r="H13" s="116"/>
      <c r="I13" s="116"/>
      <c r="J13" s="116"/>
      <c r="K13" s="116"/>
      <c r="L13" s="116"/>
      <c r="M13" s="116"/>
      <c r="N13" s="116"/>
      <c r="O13" s="116"/>
      <c r="P13" s="116"/>
      <c r="Q13" s="116"/>
      <c r="R13" s="116"/>
      <c r="S13" s="116"/>
      <c r="T13" s="116"/>
    </row>
    <row r="14" spans="1:20" x14ac:dyDescent="0.2">
      <c r="A14" s="116"/>
      <c r="B14" s="116"/>
      <c r="C14" s="116"/>
      <c r="D14" s="116"/>
      <c r="E14" s="116"/>
      <c r="F14" s="116"/>
      <c r="G14" s="116"/>
      <c r="H14" s="116"/>
      <c r="I14" s="116"/>
      <c r="J14" s="116"/>
      <c r="K14" s="116"/>
      <c r="L14" s="116"/>
      <c r="M14" s="116"/>
      <c r="N14" s="116"/>
      <c r="O14" s="116"/>
      <c r="P14" s="116"/>
      <c r="Q14" s="116"/>
      <c r="R14" s="116"/>
      <c r="S14" s="116"/>
      <c r="T14" s="116"/>
    </row>
    <row r="15" spans="1:20" x14ac:dyDescent="0.2">
      <c r="A15" s="116"/>
      <c r="B15" s="116"/>
      <c r="C15" s="116"/>
      <c r="D15" s="116"/>
      <c r="E15" s="116"/>
      <c r="F15" s="116"/>
      <c r="G15" s="116"/>
      <c r="H15" s="116"/>
      <c r="I15" s="116"/>
      <c r="J15" s="116"/>
      <c r="K15" s="116"/>
      <c r="L15" s="116"/>
      <c r="M15" s="116"/>
      <c r="N15" s="116"/>
      <c r="O15" s="116"/>
      <c r="P15" s="116"/>
      <c r="Q15" s="116"/>
      <c r="R15" s="116"/>
      <c r="S15" s="116"/>
      <c r="T15" s="116"/>
    </row>
    <row r="16" spans="1:20" x14ac:dyDescent="0.2">
      <c r="A16" s="116"/>
      <c r="B16" s="118">
        <f ca="1">+TODAY()</f>
        <v>45274</v>
      </c>
      <c r="C16" s="116"/>
      <c r="D16" s="116"/>
      <c r="E16" s="116"/>
      <c r="F16" s="116"/>
      <c r="G16" s="116"/>
      <c r="H16" s="116"/>
      <c r="I16" s="116"/>
      <c r="J16" s="116"/>
      <c r="K16" s="116"/>
      <c r="L16" s="116"/>
      <c r="M16" s="116"/>
      <c r="N16" s="116"/>
      <c r="O16" s="116"/>
      <c r="P16" s="116"/>
      <c r="Q16" s="116"/>
      <c r="R16" s="116"/>
      <c r="S16" s="116"/>
      <c r="T16" s="116"/>
    </row>
    <row r="17" spans="1:47" ht="12.75" x14ac:dyDescent="0.2">
      <c r="A17" s="116"/>
      <c r="B17" s="119"/>
      <c r="C17" s="116"/>
      <c r="D17" s="116"/>
      <c r="E17" s="116"/>
      <c r="F17" s="116"/>
      <c r="G17" s="116"/>
      <c r="H17" s="116"/>
      <c r="I17" s="116"/>
      <c r="J17" s="116"/>
      <c r="K17" s="116"/>
      <c r="L17" s="116"/>
      <c r="M17" s="116"/>
      <c r="N17" s="116"/>
      <c r="O17" s="116"/>
      <c r="P17" s="116"/>
      <c r="Q17" s="116"/>
      <c r="R17" s="116"/>
      <c r="S17" s="116"/>
      <c r="T17" s="116"/>
    </row>
    <row r="18" spans="1:47" ht="12.75" x14ac:dyDescent="0.2">
      <c r="A18" s="116"/>
      <c r="B18" s="119"/>
      <c r="C18" s="116"/>
      <c r="D18" s="116"/>
      <c r="E18" s="116"/>
      <c r="F18" s="116"/>
      <c r="G18" s="116"/>
      <c r="H18" s="116"/>
      <c r="I18" s="116"/>
      <c r="J18" s="116"/>
      <c r="K18" s="116"/>
      <c r="L18" s="116"/>
      <c r="M18" s="116"/>
      <c r="N18" s="116"/>
      <c r="O18" s="116"/>
      <c r="P18" s="116"/>
      <c r="Q18" s="116"/>
      <c r="R18" s="116"/>
      <c r="S18" s="116"/>
      <c r="T18" s="116"/>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row>
    <row r="19" spans="1:47" ht="12.75" x14ac:dyDescent="0.2">
      <c r="A19" s="116"/>
      <c r="B19" s="121" t="s">
        <v>546</v>
      </c>
      <c r="C19" s="116"/>
      <c r="D19" s="116"/>
      <c r="E19" s="116"/>
      <c r="F19" s="116"/>
      <c r="G19" s="116"/>
      <c r="H19" s="122"/>
      <c r="I19" s="116"/>
      <c r="J19" s="116"/>
      <c r="K19" s="116"/>
      <c r="L19" s="116"/>
      <c r="M19" s="116"/>
      <c r="N19" s="116"/>
      <c r="O19" s="116"/>
      <c r="P19" s="116"/>
      <c r="Q19" s="116"/>
      <c r="R19" s="116"/>
      <c r="S19" s="116"/>
      <c r="T19" s="116"/>
      <c r="U19" s="120"/>
      <c r="V19" s="120"/>
    </row>
    <row r="20" spans="1:47" ht="12.75" x14ac:dyDescent="0.2">
      <c r="A20" s="116"/>
      <c r="B20" s="123" t="s">
        <v>547</v>
      </c>
      <c r="C20" s="116"/>
      <c r="D20" s="116"/>
      <c r="E20" s="116"/>
      <c r="F20" s="116"/>
      <c r="G20" s="116"/>
      <c r="H20" s="116"/>
      <c r="I20" s="116"/>
      <c r="J20" s="116"/>
      <c r="K20" s="116"/>
      <c r="L20" s="116"/>
      <c r="M20" s="116"/>
      <c r="N20" s="116"/>
      <c r="O20" s="116"/>
      <c r="P20" s="116"/>
      <c r="Q20" s="116"/>
      <c r="R20" s="120"/>
      <c r="S20" s="120"/>
      <c r="T20" s="120"/>
      <c r="U20" s="120"/>
      <c r="V20" s="120"/>
    </row>
    <row r="21" spans="1:47" ht="12.75" x14ac:dyDescent="0.2">
      <c r="A21" s="116"/>
      <c r="B21" s="124" t="s">
        <v>548</v>
      </c>
      <c r="C21" s="125"/>
      <c r="D21" s="125"/>
      <c r="E21" s="116"/>
      <c r="F21" s="116"/>
      <c r="G21" s="116"/>
      <c r="H21" s="116"/>
      <c r="I21" s="116"/>
      <c r="J21" s="116"/>
      <c r="K21" s="116"/>
      <c r="L21" s="116"/>
      <c r="M21" s="116"/>
      <c r="N21" s="116"/>
      <c r="O21" s="116"/>
      <c r="P21" s="116"/>
      <c r="Q21" s="116"/>
      <c r="R21" s="116"/>
      <c r="S21" s="116"/>
      <c r="T21" s="116"/>
    </row>
    <row r="22" spans="1:47" ht="12.75" x14ac:dyDescent="0.2">
      <c r="A22" s="116"/>
      <c r="B22" s="119" t="s">
        <v>549</v>
      </c>
      <c r="C22" s="125"/>
      <c r="D22" s="125"/>
      <c r="E22" s="116"/>
      <c r="F22" s="116"/>
      <c r="G22" s="116"/>
      <c r="H22" s="116"/>
      <c r="I22" s="116"/>
      <c r="J22" s="116"/>
      <c r="K22" s="116"/>
      <c r="L22" s="116"/>
      <c r="M22" s="116"/>
      <c r="N22" s="116"/>
      <c r="O22" s="116"/>
      <c r="P22" s="116"/>
      <c r="Q22" s="116"/>
      <c r="R22" s="116"/>
      <c r="S22" s="116"/>
      <c r="T22" s="116"/>
    </row>
    <row r="23" spans="1:47" ht="12.75" x14ac:dyDescent="0.2">
      <c r="A23" s="116"/>
      <c r="B23" s="119"/>
      <c r="C23" s="125"/>
      <c r="D23" s="125"/>
      <c r="E23" s="116"/>
      <c r="F23" s="116"/>
      <c r="G23" s="116"/>
      <c r="H23" s="116"/>
      <c r="I23" s="116"/>
      <c r="J23" s="116"/>
      <c r="K23" s="116"/>
      <c r="L23" s="116"/>
      <c r="M23" s="116"/>
      <c r="N23" s="116"/>
      <c r="O23" s="116"/>
      <c r="P23" s="116"/>
      <c r="Q23" s="116"/>
      <c r="R23" s="116"/>
      <c r="S23" s="116"/>
      <c r="T23" s="116"/>
    </row>
    <row r="24" spans="1:47" x14ac:dyDescent="0.2">
      <c r="A24" s="116"/>
      <c r="B24" s="126"/>
      <c r="C24" s="125"/>
      <c r="D24" s="125"/>
      <c r="E24" s="116"/>
      <c r="F24" s="116"/>
      <c r="G24" s="116"/>
      <c r="H24" s="116"/>
      <c r="I24" s="116"/>
      <c r="J24" s="127"/>
      <c r="K24" s="116"/>
      <c r="L24" s="116"/>
      <c r="M24" s="116"/>
      <c r="N24" s="116"/>
      <c r="O24" s="116"/>
      <c r="P24" s="116"/>
      <c r="Q24" s="116"/>
      <c r="R24" s="116"/>
      <c r="S24" s="116"/>
      <c r="T24" s="116"/>
    </row>
    <row r="25" spans="1:47" x14ac:dyDescent="0.2">
      <c r="A25" s="116"/>
      <c r="B25" s="125" t="s">
        <v>550</v>
      </c>
      <c r="C25" s="128" t="s">
        <v>554</v>
      </c>
      <c r="D25" s="116"/>
      <c r="E25" s="116"/>
      <c r="F25" s="116"/>
      <c r="G25" s="116"/>
      <c r="H25" s="116"/>
      <c r="I25" s="116"/>
      <c r="J25" s="116"/>
      <c r="K25" s="116"/>
      <c r="L25" s="116"/>
      <c r="M25" s="127"/>
      <c r="N25" s="116"/>
      <c r="O25" s="116"/>
      <c r="P25" s="116"/>
      <c r="Q25" s="116"/>
      <c r="R25" s="116"/>
      <c r="S25" s="116"/>
      <c r="T25" s="116"/>
    </row>
    <row r="26" spans="1:47" x14ac:dyDescent="0.2">
      <c r="A26" s="116"/>
      <c r="B26" s="125" t="s">
        <v>551</v>
      </c>
      <c r="C26" s="129" t="s">
        <v>552</v>
      </c>
      <c r="D26" s="116"/>
      <c r="E26" s="116"/>
      <c r="F26" s="116"/>
      <c r="G26" s="116"/>
      <c r="H26" s="116"/>
      <c r="I26" s="116"/>
      <c r="J26" s="116"/>
      <c r="K26" s="116"/>
      <c r="L26" s="116"/>
      <c r="M26" s="127"/>
      <c r="N26" s="116"/>
      <c r="O26" s="116"/>
      <c r="P26" s="116"/>
      <c r="Q26" s="116"/>
      <c r="R26" s="116"/>
      <c r="S26" s="116"/>
      <c r="T26" s="116"/>
    </row>
    <row r="27" spans="1:47" x14ac:dyDescent="0.2">
      <c r="A27" s="116"/>
      <c r="B27" s="125" t="s">
        <v>553</v>
      </c>
      <c r="C27" s="130" t="s">
        <v>555</v>
      </c>
      <c r="D27" s="122"/>
      <c r="E27" s="122"/>
      <c r="F27" s="116"/>
      <c r="G27" s="116"/>
      <c r="H27" s="116"/>
      <c r="I27" s="116"/>
      <c r="J27" s="116"/>
      <c r="K27" s="116"/>
      <c r="L27" s="116"/>
      <c r="M27" s="116"/>
      <c r="N27" s="116"/>
      <c r="O27" s="116"/>
      <c r="P27" s="116"/>
      <c r="Q27" s="116"/>
      <c r="R27" s="116"/>
      <c r="S27" s="116"/>
      <c r="T27" s="116"/>
    </row>
    <row r="28" spans="1:47" x14ac:dyDescent="0.2">
      <c r="A28" s="116"/>
      <c r="B28" s="125"/>
      <c r="C28" s="131"/>
      <c r="D28" s="122"/>
      <c r="E28" s="122"/>
      <c r="F28" s="122"/>
      <c r="G28" s="122"/>
      <c r="H28" s="122"/>
      <c r="I28" s="122"/>
      <c r="J28" s="122"/>
      <c r="K28" s="122"/>
      <c r="L28" s="122"/>
      <c r="M28" s="122"/>
      <c r="N28" s="122"/>
      <c r="O28" s="122"/>
      <c r="P28" s="116"/>
      <c r="Q28" s="116"/>
      <c r="R28" s="116"/>
      <c r="S28" s="116"/>
      <c r="T28" s="116"/>
    </row>
    <row r="29" spans="1:47" x14ac:dyDescent="0.2">
      <c r="A29" s="116"/>
      <c r="B29" s="125"/>
      <c r="C29" s="131"/>
      <c r="D29" s="122"/>
      <c r="E29" s="122"/>
      <c r="F29" s="122"/>
      <c r="G29" s="122"/>
      <c r="H29" s="122"/>
      <c r="I29" s="122"/>
      <c r="J29" s="122"/>
      <c r="K29" s="122"/>
      <c r="L29" s="122"/>
      <c r="M29" s="122"/>
      <c r="N29" s="122"/>
      <c r="O29" s="122"/>
      <c r="P29" s="116"/>
      <c r="Q29" s="116"/>
      <c r="R29" s="116"/>
      <c r="S29" s="116"/>
      <c r="T29" s="116"/>
    </row>
    <row r="30" spans="1:47" x14ac:dyDescent="0.2">
      <c r="A30" s="116"/>
      <c r="B30" s="125"/>
      <c r="C30" s="131"/>
      <c r="D30" s="116"/>
      <c r="E30" s="116"/>
      <c r="F30" s="116"/>
      <c r="G30" s="116"/>
      <c r="H30" s="116"/>
      <c r="I30" s="116"/>
      <c r="J30" s="116"/>
      <c r="K30" s="116"/>
      <c r="L30" s="116"/>
      <c r="M30" s="116"/>
      <c r="N30" s="116"/>
      <c r="O30" s="116"/>
      <c r="P30" s="116"/>
      <c r="Q30" s="116"/>
      <c r="R30" s="116"/>
      <c r="S30" s="116"/>
      <c r="T30" s="116"/>
    </row>
    <row r="31" spans="1:47" x14ac:dyDescent="0.2">
      <c r="A31" s="116"/>
      <c r="B31" s="116"/>
      <c r="C31" s="116"/>
      <c r="D31" s="116"/>
      <c r="E31" s="116"/>
      <c r="F31" s="116"/>
      <c r="G31" s="116"/>
      <c r="H31" s="116"/>
      <c r="I31" s="116"/>
      <c r="J31" s="116"/>
      <c r="K31" s="116"/>
      <c r="L31" s="116"/>
      <c r="M31" s="116"/>
      <c r="N31" s="116"/>
      <c r="O31" s="116"/>
      <c r="P31" s="116"/>
      <c r="Q31" s="116"/>
      <c r="R31" s="116"/>
      <c r="S31" s="116"/>
      <c r="T31" s="116"/>
    </row>
    <row r="32" spans="1:47" x14ac:dyDescent="0.2">
      <c r="A32" s="116"/>
      <c r="B32" s="116"/>
      <c r="C32" s="116"/>
      <c r="D32" s="116"/>
      <c r="E32" s="116"/>
      <c r="F32" s="116"/>
      <c r="G32" s="116"/>
      <c r="H32" s="116"/>
      <c r="I32" s="116"/>
      <c r="J32" s="116"/>
      <c r="K32" s="116"/>
      <c r="L32" s="116"/>
      <c r="M32" s="116"/>
      <c r="N32" s="116"/>
      <c r="O32" s="116"/>
      <c r="P32" s="116"/>
      <c r="Q32" s="116"/>
      <c r="R32" s="116"/>
      <c r="S32" s="116"/>
      <c r="T32" s="116"/>
    </row>
    <row r="33" spans="1:20" x14ac:dyDescent="0.2">
      <c r="A33" s="116"/>
      <c r="B33" s="116"/>
      <c r="C33" s="116"/>
      <c r="D33" s="116"/>
      <c r="E33" s="116"/>
      <c r="F33" s="116"/>
      <c r="G33" s="116"/>
      <c r="H33" s="116"/>
      <c r="I33" s="116"/>
      <c r="J33" s="116"/>
      <c r="K33" s="116"/>
      <c r="L33" s="116"/>
      <c r="M33" s="116"/>
      <c r="N33" s="116"/>
      <c r="O33" s="116"/>
      <c r="P33" s="116"/>
      <c r="Q33" s="116"/>
      <c r="R33" s="116"/>
      <c r="S33" s="116"/>
      <c r="T33" s="116"/>
    </row>
    <row r="34" spans="1:20" x14ac:dyDescent="0.2">
      <c r="A34" s="116"/>
      <c r="B34" s="116"/>
      <c r="C34" s="116"/>
      <c r="D34" s="116"/>
      <c r="E34" s="116"/>
      <c r="F34" s="116"/>
      <c r="G34" s="116"/>
      <c r="H34" s="116"/>
      <c r="I34" s="116"/>
      <c r="J34" s="116"/>
      <c r="K34" s="116"/>
      <c r="L34" s="116"/>
      <c r="M34" s="116"/>
      <c r="N34" s="116"/>
      <c r="O34" s="116"/>
      <c r="P34" s="116"/>
      <c r="Q34" s="116"/>
      <c r="R34" s="116"/>
      <c r="S34" s="116"/>
      <c r="T34" s="116"/>
    </row>
    <row r="35" spans="1:20" x14ac:dyDescent="0.2">
      <c r="A35" s="116"/>
      <c r="B35" s="116"/>
      <c r="C35" s="116"/>
      <c r="D35" s="116"/>
      <c r="E35" s="116"/>
      <c r="F35" s="116"/>
      <c r="G35" s="116"/>
      <c r="H35" s="116"/>
      <c r="I35" s="116"/>
      <c r="J35" s="116"/>
      <c r="K35" s="116"/>
      <c r="L35" s="116"/>
      <c r="M35" s="116"/>
      <c r="N35" s="116"/>
      <c r="O35" s="116"/>
      <c r="P35" s="116"/>
      <c r="Q35" s="116"/>
      <c r="R35" s="116"/>
      <c r="S35" s="116"/>
      <c r="T35" s="116"/>
    </row>
    <row r="36" spans="1:20" x14ac:dyDescent="0.2">
      <c r="A36" s="116"/>
      <c r="B36" s="116"/>
      <c r="C36" s="116"/>
      <c r="D36" s="116"/>
      <c r="E36" s="116"/>
      <c r="F36" s="116"/>
      <c r="G36" s="116"/>
      <c r="H36" s="116"/>
      <c r="I36" s="116"/>
      <c r="J36" s="116"/>
      <c r="K36" s="116"/>
      <c r="L36" s="116"/>
      <c r="M36" s="116"/>
      <c r="N36" s="116"/>
      <c r="O36" s="116"/>
      <c r="P36" s="116"/>
      <c r="Q36" s="116"/>
      <c r="R36" s="116"/>
      <c r="S36" s="116"/>
      <c r="T36" s="116"/>
    </row>
    <row r="37" spans="1:20" x14ac:dyDescent="0.2">
      <c r="A37" s="116"/>
      <c r="B37" s="116"/>
      <c r="C37" s="116"/>
      <c r="D37" s="116"/>
      <c r="E37" s="116"/>
      <c r="F37" s="116"/>
      <c r="G37" s="116"/>
      <c r="H37" s="116"/>
      <c r="I37" s="116"/>
      <c r="J37" s="116"/>
      <c r="K37" s="116"/>
      <c r="L37" s="116"/>
      <c r="M37" s="116"/>
      <c r="N37" s="116"/>
      <c r="O37" s="116"/>
      <c r="P37" s="116"/>
      <c r="Q37" s="116"/>
      <c r="R37" s="116"/>
      <c r="S37" s="116"/>
      <c r="T37" s="116"/>
    </row>
    <row r="38" spans="1:20" x14ac:dyDescent="0.2">
      <c r="A38" s="116"/>
      <c r="B38" s="116"/>
      <c r="C38" s="116"/>
      <c r="D38" s="116"/>
      <c r="E38" s="116"/>
      <c r="F38" s="116"/>
      <c r="G38" s="116"/>
      <c r="H38" s="116"/>
      <c r="I38" s="116"/>
      <c r="J38" s="116"/>
      <c r="K38" s="116"/>
      <c r="L38" s="116"/>
      <c r="M38" s="116"/>
      <c r="N38" s="116"/>
      <c r="O38" s="116"/>
      <c r="P38" s="116"/>
      <c r="Q38" s="116"/>
      <c r="R38" s="116"/>
      <c r="S38" s="116"/>
      <c r="T38" s="116"/>
    </row>
    <row r="39" spans="1:20" ht="12.75" thickBot="1" x14ac:dyDescent="0.25">
      <c r="A39" s="114"/>
      <c r="B39" s="114"/>
      <c r="C39" s="114"/>
      <c r="D39" s="114"/>
      <c r="E39" s="114"/>
      <c r="F39" s="114"/>
      <c r="G39" s="114"/>
      <c r="H39" s="114"/>
      <c r="I39" s="114"/>
      <c r="J39" s="114"/>
      <c r="K39" s="114"/>
      <c r="L39" s="114"/>
      <c r="M39" s="114"/>
      <c r="N39" s="114"/>
      <c r="O39" s="114"/>
      <c r="P39" s="114"/>
      <c r="Q39" s="114"/>
      <c r="R39" s="114"/>
      <c r="S39" s="114"/>
      <c r="T39" s="11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13465-2029-4C60-B4AA-AF21A9515C15}">
  <dimension ref="A1:AP526"/>
  <sheetViews>
    <sheetView zoomScale="72" zoomScaleNormal="72" workbookViewId="0">
      <pane xSplit="1" ySplit="1" topLeftCell="G2" activePane="bottomRight" state="frozen"/>
      <selection pane="topRight" activeCell="B1" sqref="B1"/>
      <selection pane="bottomLeft" activeCell="A2" sqref="A2"/>
      <selection pane="bottomRight" activeCell="S1" sqref="S1"/>
    </sheetView>
  </sheetViews>
  <sheetFormatPr defaultColWidth="9.140625" defaultRowHeight="15" outlineLevelCol="1" x14ac:dyDescent="0.3"/>
  <cols>
    <col min="1" max="1" width="66.140625" style="3" bestFit="1" customWidth="1"/>
    <col min="2" max="6" width="10.28515625" style="3" hidden="1" customWidth="1" outlineLevel="1"/>
    <col min="7" max="7" width="10.28515625" style="3" customWidth="1" collapsed="1"/>
    <col min="8" max="16" width="10.28515625" style="3" customWidth="1"/>
    <col min="17" max="17" width="12" style="3" bestFit="1" customWidth="1"/>
    <col min="18" max="18" width="5.28515625" style="3" customWidth="1"/>
    <col min="19" max="19" width="5.42578125" style="3" customWidth="1"/>
    <col min="20" max="20" width="11.5703125" style="3" bestFit="1" customWidth="1"/>
    <col min="21" max="22" width="9.140625" style="3"/>
    <col min="23" max="23" width="9.140625" style="3" customWidth="1"/>
    <col min="24" max="16384" width="9.140625" style="3"/>
  </cols>
  <sheetData>
    <row r="1" spans="1:42" ht="15.75" x14ac:dyDescent="0.3">
      <c r="A1" s="270" t="s">
        <v>57</v>
      </c>
      <c r="B1" s="270">
        <v>2016</v>
      </c>
      <c r="C1" s="270">
        <f t="shared" ref="C1:P1" si="0">B1+1</f>
        <v>2017</v>
      </c>
      <c r="D1" s="270">
        <f t="shared" si="0"/>
        <v>2018</v>
      </c>
      <c r="E1" s="270">
        <f t="shared" si="0"/>
        <v>2019</v>
      </c>
      <c r="F1" s="270">
        <f t="shared" si="0"/>
        <v>2020</v>
      </c>
      <c r="G1" s="270">
        <f t="shared" si="0"/>
        <v>2021</v>
      </c>
      <c r="H1" s="270">
        <f t="shared" si="0"/>
        <v>2022</v>
      </c>
      <c r="I1" s="270">
        <f t="shared" si="0"/>
        <v>2023</v>
      </c>
      <c r="J1" s="270">
        <f t="shared" si="0"/>
        <v>2024</v>
      </c>
      <c r="K1" s="270">
        <f t="shared" si="0"/>
        <v>2025</v>
      </c>
      <c r="L1" s="270">
        <f t="shared" si="0"/>
        <v>2026</v>
      </c>
      <c r="M1" s="270">
        <f t="shared" si="0"/>
        <v>2027</v>
      </c>
      <c r="N1" s="270">
        <f t="shared" si="0"/>
        <v>2028</v>
      </c>
      <c r="O1" s="270">
        <f t="shared" si="0"/>
        <v>2029</v>
      </c>
      <c r="P1" s="270">
        <f t="shared" si="0"/>
        <v>2030</v>
      </c>
      <c r="Q1" s="403">
        <f ca="1">B450</f>
        <v>6.993867152779166</v>
      </c>
      <c r="R1" s="271"/>
      <c r="S1" s="271"/>
      <c r="T1" s="270">
        <f t="shared" ref="T1:AC1" si="1">G1</f>
        <v>2021</v>
      </c>
      <c r="U1" s="270">
        <f t="shared" si="1"/>
        <v>2022</v>
      </c>
      <c r="V1" s="270">
        <f t="shared" si="1"/>
        <v>2023</v>
      </c>
      <c r="W1" s="270">
        <f t="shared" si="1"/>
        <v>2024</v>
      </c>
      <c r="X1" s="270">
        <f t="shared" si="1"/>
        <v>2025</v>
      </c>
      <c r="Y1" s="270">
        <f t="shared" si="1"/>
        <v>2026</v>
      </c>
      <c r="Z1" s="270">
        <f t="shared" si="1"/>
        <v>2027</v>
      </c>
      <c r="AA1" s="270">
        <f t="shared" si="1"/>
        <v>2028</v>
      </c>
      <c r="AB1" s="270">
        <f t="shared" si="1"/>
        <v>2029</v>
      </c>
      <c r="AC1" s="270">
        <f t="shared" si="1"/>
        <v>2030</v>
      </c>
      <c r="AD1" s="6"/>
      <c r="AE1" s="6"/>
      <c r="AF1" s="6"/>
      <c r="AG1" s="6"/>
      <c r="AH1" s="6"/>
      <c r="AI1" s="6"/>
      <c r="AJ1" s="6"/>
      <c r="AK1" s="6"/>
      <c r="AL1" s="6"/>
      <c r="AM1" s="6"/>
      <c r="AN1" s="6"/>
      <c r="AO1" s="6"/>
      <c r="AP1" s="6"/>
    </row>
    <row r="2" spans="1:42" ht="15.75" x14ac:dyDescent="0.3">
      <c r="A2" s="6"/>
      <c r="B2" s="254"/>
      <c r="C2" s="254"/>
      <c r="D2" s="254"/>
      <c r="E2" s="254"/>
      <c r="F2" s="254"/>
      <c r="G2" s="254"/>
      <c r="H2" s="272"/>
      <c r="I2" s="272"/>
      <c r="J2" s="254"/>
      <c r="K2" s="254"/>
      <c r="L2" s="254"/>
      <c r="M2" s="254"/>
      <c r="N2" s="254"/>
      <c r="O2" s="254"/>
      <c r="P2" s="254"/>
      <c r="Q2" s="254"/>
      <c r="R2" s="254"/>
      <c r="S2" s="254"/>
      <c r="T2" s="254"/>
      <c r="U2" s="6"/>
      <c r="V2" s="6"/>
      <c r="W2" s="6"/>
      <c r="X2" s="6"/>
      <c r="Y2" s="6"/>
      <c r="Z2" s="6"/>
      <c r="AA2" s="6"/>
      <c r="AB2" s="6"/>
      <c r="AC2" s="6"/>
      <c r="AD2" s="6"/>
      <c r="AE2" s="6"/>
      <c r="AF2" s="6"/>
      <c r="AG2" s="6"/>
      <c r="AH2" s="6"/>
      <c r="AI2" s="6"/>
      <c r="AJ2" s="6"/>
      <c r="AK2" s="6"/>
      <c r="AL2" s="6"/>
      <c r="AM2" s="6"/>
      <c r="AN2" s="6"/>
      <c r="AO2" s="6"/>
      <c r="AP2" s="6"/>
    </row>
    <row r="3" spans="1:42" ht="15.75" x14ac:dyDescent="0.3">
      <c r="A3" s="270" t="s">
        <v>0</v>
      </c>
      <c r="B3" s="270"/>
      <c r="C3" s="270"/>
      <c r="D3" s="270"/>
      <c r="E3" s="270"/>
      <c r="F3" s="270"/>
      <c r="G3" s="270"/>
      <c r="H3" s="273"/>
      <c r="I3" s="273"/>
      <c r="J3" s="270"/>
      <c r="K3" s="270"/>
      <c r="L3" s="270"/>
      <c r="M3" s="270"/>
      <c r="N3" s="270"/>
      <c r="O3" s="270"/>
      <c r="P3" s="270"/>
      <c r="Q3" s="274"/>
      <c r="R3" s="274"/>
      <c r="S3" s="274"/>
      <c r="T3" s="274"/>
      <c r="U3" s="6"/>
      <c r="V3" s="6"/>
      <c r="W3" s="6"/>
      <c r="X3" s="6"/>
      <c r="Y3" s="6"/>
      <c r="Z3" s="6"/>
      <c r="AA3" s="6"/>
      <c r="AB3" s="6"/>
      <c r="AC3" s="6"/>
      <c r="AD3" s="6"/>
      <c r="AE3" s="6"/>
      <c r="AF3" s="6"/>
      <c r="AG3" s="6"/>
      <c r="AH3" s="6"/>
      <c r="AI3" s="6"/>
      <c r="AJ3" s="6"/>
      <c r="AK3" s="6"/>
      <c r="AL3" s="6"/>
      <c r="AM3" s="6"/>
      <c r="AN3" s="6"/>
      <c r="AO3" s="6"/>
      <c r="AP3" s="6"/>
    </row>
    <row r="4" spans="1:42" ht="15.75" x14ac:dyDescent="0.3">
      <c r="A4" s="360" t="s">
        <v>12</v>
      </c>
      <c r="B4" s="275"/>
      <c r="C4" s="279">
        <v>12539</v>
      </c>
      <c r="D4" s="275"/>
      <c r="E4" s="275"/>
      <c r="F4" s="275"/>
      <c r="G4" s="279">
        <v>11233</v>
      </c>
      <c r="H4" s="279">
        <v>11243</v>
      </c>
      <c r="I4" s="276">
        <f t="shared" ref="I4:P4" si="2">I75</f>
        <v>11353</v>
      </c>
      <c r="J4" s="275">
        <f t="shared" si="2"/>
        <v>11671.945258452977</v>
      </c>
      <c r="K4" s="275">
        <f t="shared" si="2"/>
        <v>11990.890516905954</v>
      </c>
      <c r="L4" s="275">
        <f t="shared" si="2"/>
        <v>12309.835775358932</v>
      </c>
      <c r="M4" s="275">
        <f t="shared" si="2"/>
        <v>12628.781033811909</v>
      </c>
      <c r="N4" s="275">
        <f t="shared" si="2"/>
        <v>12947.726292264886</v>
      </c>
      <c r="O4" s="275">
        <f t="shared" si="2"/>
        <v>13266.671550717863</v>
      </c>
      <c r="P4" s="275">
        <f t="shared" si="2"/>
        <v>13585.61680917084</v>
      </c>
      <c r="Q4" s="277" t="s">
        <v>12</v>
      </c>
      <c r="R4" s="274"/>
      <c r="S4" s="372"/>
      <c r="T4" s="15">
        <f t="shared" ref="T4:AC4" si="3">G4/G$21</f>
        <v>0.38614644207631488</v>
      </c>
      <c r="U4" s="15">
        <f t="shared" si="3"/>
        <v>0.37853944311639337</v>
      </c>
      <c r="V4" s="374">
        <f t="shared" si="3"/>
        <v>0.32334595995556947</v>
      </c>
      <c r="W4" s="15">
        <f t="shared" si="3"/>
        <v>0.31451443664824386</v>
      </c>
      <c r="X4" s="15">
        <f t="shared" si="3"/>
        <v>0.31217334922043044</v>
      </c>
      <c r="Y4" s="15">
        <f t="shared" si="3"/>
        <v>0.30998553990982175</v>
      </c>
      <c r="Z4" s="15">
        <f t="shared" si="3"/>
        <v>0.30793643251351854</v>
      </c>
      <c r="AA4" s="15">
        <f t="shared" si="3"/>
        <v>0.30601324223641335</v>
      </c>
      <c r="AB4" s="15">
        <f t="shared" si="3"/>
        <v>0.30420470869087762</v>
      </c>
      <c r="AC4" s="15">
        <f t="shared" si="3"/>
        <v>0.30250087526821584</v>
      </c>
      <c r="AD4" s="6"/>
      <c r="AE4" s="6"/>
      <c r="AF4" s="6"/>
      <c r="AG4" s="6"/>
      <c r="AH4" s="6"/>
      <c r="AI4" s="6"/>
      <c r="AJ4" s="6"/>
      <c r="AK4" s="6"/>
      <c r="AL4" s="6"/>
      <c r="AM4" s="6"/>
      <c r="AN4" s="6"/>
      <c r="AO4" s="6"/>
      <c r="AP4" s="6"/>
    </row>
    <row r="5" spans="1:42" ht="15.75" x14ac:dyDescent="0.3">
      <c r="A5" s="366" t="s">
        <v>13</v>
      </c>
      <c r="B5" s="278"/>
      <c r="C5" s="279">
        <v>4435</v>
      </c>
      <c r="D5" s="278"/>
      <c r="E5" s="278"/>
      <c r="F5" s="278"/>
      <c r="G5" s="279">
        <v>4097</v>
      </c>
      <c r="H5" s="279">
        <v>4123</v>
      </c>
      <c r="I5" s="276">
        <f t="shared" ref="I5:P5" si="4">V5*I$21</f>
        <v>4143.098</v>
      </c>
      <c r="J5" s="275">
        <f t="shared" si="4"/>
        <v>4379.098</v>
      </c>
      <c r="K5" s="275">
        <f t="shared" si="4"/>
        <v>4532.4979999999996</v>
      </c>
      <c r="L5" s="275">
        <f t="shared" si="4"/>
        <v>4685.8980000000001</v>
      </c>
      <c r="M5" s="275">
        <f t="shared" si="4"/>
        <v>4839.2979999999998</v>
      </c>
      <c r="N5" s="275">
        <f t="shared" si="4"/>
        <v>4992.6979999999994</v>
      </c>
      <c r="O5" s="275">
        <f t="shared" si="4"/>
        <v>5146.098</v>
      </c>
      <c r="P5" s="275">
        <f t="shared" si="4"/>
        <v>5299.4979999999996</v>
      </c>
      <c r="Q5" s="280" t="s">
        <v>561</v>
      </c>
      <c r="R5" s="363"/>
      <c r="S5" s="372"/>
      <c r="T5" s="15">
        <f t="shared" ref="T5:U20" si="5">G5/G$21</f>
        <v>0.14083877621175661</v>
      </c>
      <c r="U5" s="15">
        <f t="shared" si="5"/>
        <v>0.13881687485269856</v>
      </c>
      <c r="V5" s="373">
        <v>0.11799999999999999</v>
      </c>
      <c r="W5" s="371">
        <f>V5</f>
        <v>0.11799999999999999</v>
      </c>
      <c r="X5" s="371">
        <f t="shared" ref="X5:AC5" si="6">W5</f>
        <v>0.11799999999999999</v>
      </c>
      <c r="Y5" s="371">
        <f t="shared" si="6"/>
        <v>0.11799999999999999</v>
      </c>
      <c r="Z5" s="371">
        <f t="shared" si="6"/>
        <v>0.11799999999999999</v>
      </c>
      <c r="AA5" s="371">
        <f t="shared" si="6"/>
        <v>0.11799999999999999</v>
      </c>
      <c r="AB5" s="371">
        <f t="shared" si="6"/>
        <v>0.11799999999999999</v>
      </c>
      <c r="AC5" s="371">
        <f t="shared" si="6"/>
        <v>0.11799999999999999</v>
      </c>
      <c r="AD5" s="6"/>
      <c r="AE5" s="6"/>
      <c r="AF5" s="6"/>
      <c r="AG5" s="6"/>
      <c r="AH5" s="6"/>
      <c r="AI5" s="6"/>
      <c r="AJ5" s="6"/>
      <c r="AK5" s="6"/>
      <c r="AL5" s="6"/>
      <c r="AM5" s="6"/>
      <c r="AN5" s="6"/>
      <c r="AO5" s="6"/>
      <c r="AP5" s="6"/>
    </row>
    <row r="6" spans="1:42" ht="15.75" x14ac:dyDescent="0.3">
      <c r="A6" s="361" t="s">
        <v>14</v>
      </c>
      <c r="B6" s="275"/>
      <c r="C6" s="279">
        <v>3687</v>
      </c>
      <c r="D6" s="275"/>
      <c r="E6" s="275"/>
      <c r="F6" s="275"/>
      <c r="G6" s="279">
        <v>0</v>
      </c>
      <c r="H6" s="279">
        <v>500</v>
      </c>
      <c r="I6" s="276">
        <f t="shared" ref="I6:J20" si="7">V6*I$21</f>
        <v>3502.3222500000002</v>
      </c>
      <c r="J6" s="275">
        <f t="shared" si="7"/>
        <v>3701.8222500000002</v>
      </c>
      <c r="K6" s="275">
        <f t="shared" ref="K6:K18" si="8">X6*K$21</f>
        <v>3831.4972500000003</v>
      </c>
      <c r="L6" s="275">
        <f t="shared" ref="L6:L18" si="9">Y6*L$21</f>
        <v>3961.1722500000001</v>
      </c>
      <c r="M6" s="275">
        <f t="shared" ref="M6:M18" si="10">Z6*M$21</f>
        <v>4090.8472500000003</v>
      </c>
      <c r="N6" s="275">
        <f t="shared" ref="N6:N18" si="11">AA6*N$21</f>
        <v>4220.52225</v>
      </c>
      <c r="O6" s="275">
        <f t="shared" ref="O6:O18" si="12">AB6*O$21</f>
        <v>4350.1972500000002</v>
      </c>
      <c r="P6" s="275">
        <f t="shared" ref="P6:P18" si="13">AC6*P$21</f>
        <v>4479.8722500000003</v>
      </c>
      <c r="Q6" s="362" t="s">
        <v>575</v>
      </c>
      <c r="R6" s="363"/>
      <c r="S6" s="372"/>
      <c r="T6" s="15">
        <f t="shared" si="5"/>
        <v>0</v>
      </c>
      <c r="U6" s="15">
        <f t="shared" si="5"/>
        <v>1.6834450018517896E-2</v>
      </c>
      <c r="V6" s="373">
        <v>9.9750000000000005E-2</v>
      </c>
      <c r="W6" s="371">
        <f t="shared" ref="W6:AC17" si="14">V6</f>
        <v>9.9750000000000005E-2</v>
      </c>
      <c r="X6" s="371">
        <f t="shared" si="14"/>
        <v>9.9750000000000005E-2</v>
      </c>
      <c r="Y6" s="371">
        <f t="shared" si="14"/>
        <v>9.9750000000000005E-2</v>
      </c>
      <c r="Z6" s="371">
        <f t="shared" si="14"/>
        <v>9.9750000000000005E-2</v>
      </c>
      <c r="AA6" s="371">
        <f t="shared" si="14"/>
        <v>9.9750000000000005E-2</v>
      </c>
      <c r="AB6" s="371">
        <f t="shared" si="14"/>
        <v>9.9750000000000005E-2</v>
      </c>
      <c r="AC6" s="371">
        <f t="shared" si="14"/>
        <v>9.9750000000000005E-2</v>
      </c>
      <c r="AD6" s="6"/>
      <c r="AE6" s="6"/>
      <c r="AF6" s="6"/>
      <c r="AG6" s="6"/>
      <c r="AH6" s="6"/>
      <c r="AI6" s="6"/>
      <c r="AJ6" s="6"/>
      <c r="AK6" s="6"/>
      <c r="AL6" s="6"/>
      <c r="AM6" s="6"/>
      <c r="AN6" s="6"/>
      <c r="AO6" s="6"/>
      <c r="AP6" s="6"/>
    </row>
    <row r="7" spans="1:42" ht="15.75" x14ac:dyDescent="0.3">
      <c r="A7" s="367" t="s">
        <v>15</v>
      </c>
      <c r="B7" s="275"/>
      <c r="C7" s="279">
        <v>3264</v>
      </c>
      <c r="D7" s="275"/>
      <c r="E7" s="275"/>
      <c r="F7" s="275"/>
      <c r="G7" s="279">
        <v>3020</v>
      </c>
      <c r="H7" s="279">
        <v>3060</v>
      </c>
      <c r="I7" s="276">
        <f t="shared" ref="I7:I20" si="15">V7*I$21</f>
        <v>3107.3235</v>
      </c>
      <c r="J7" s="275">
        <f t="shared" si="7"/>
        <v>3284.3235</v>
      </c>
      <c r="K7" s="275">
        <f t="shared" si="8"/>
        <v>3399.3734999999997</v>
      </c>
      <c r="L7" s="275">
        <f t="shared" si="9"/>
        <v>3514.4234999999999</v>
      </c>
      <c r="M7" s="275">
        <f t="shared" si="10"/>
        <v>3629.4734999999996</v>
      </c>
      <c r="N7" s="275">
        <f t="shared" si="11"/>
        <v>3744.5234999999998</v>
      </c>
      <c r="O7" s="275">
        <f t="shared" si="12"/>
        <v>3859.5735</v>
      </c>
      <c r="P7" s="275">
        <f t="shared" si="13"/>
        <v>3974.6234999999997</v>
      </c>
      <c r="Q7" s="282" t="s">
        <v>721</v>
      </c>
      <c r="R7" s="363"/>
      <c r="S7" s="372"/>
      <c r="T7" s="15">
        <f t="shared" si="5"/>
        <v>0.10381574424200757</v>
      </c>
      <c r="U7" s="15">
        <f t="shared" si="5"/>
        <v>0.10302683411332952</v>
      </c>
      <c r="V7" s="373">
        <v>8.8499999999999995E-2</v>
      </c>
      <c r="W7" s="371">
        <f t="shared" si="14"/>
        <v>8.8499999999999995E-2</v>
      </c>
      <c r="X7" s="371">
        <f t="shared" si="14"/>
        <v>8.8499999999999995E-2</v>
      </c>
      <c r="Y7" s="371">
        <f t="shared" si="14"/>
        <v>8.8499999999999995E-2</v>
      </c>
      <c r="Z7" s="371">
        <f t="shared" si="14"/>
        <v>8.8499999999999995E-2</v>
      </c>
      <c r="AA7" s="371">
        <f t="shared" si="14"/>
        <v>8.8499999999999995E-2</v>
      </c>
      <c r="AB7" s="371">
        <f t="shared" si="14"/>
        <v>8.8499999999999995E-2</v>
      </c>
      <c r="AC7" s="371">
        <f t="shared" si="14"/>
        <v>8.8499999999999995E-2</v>
      </c>
      <c r="AD7" s="6"/>
      <c r="AE7" s="6"/>
      <c r="AF7" s="6"/>
      <c r="AG7" s="6"/>
      <c r="AH7" s="6"/>
      <c r="AI7" s="6"/>
      <c r="AJ7" s="6"/>
      <c r="AK7" s="6"/>
      <c r="AL7" s="6"/>
      <c r="AM7" s="6"/>
      <c r="AN7" s="6"/>
      <c r="AO7" s="6"/>
      <c r="AP7" s="6"/>
    </row>
    <row r="8" spans="1:42" ht="15.75" x14ac:dyDescent="0.3">
      <c r="A8" s="361" t="s">
        <v>16</v>
      </c>
      <c r="B8" s="275"/>
      <c r="C8" s="279">
        <v>2545</v>
      </c>
      <c r="D8" s="275"/>
      <c r="E8" s="275"/>
      <c r="F8" s="275"/>
      <c r="G8" s="279">
        <v>2509</v>
      </c>
      <c r="H8" s="279">
        <v>2512</v>
      </c>
      <c r="I8" s="276">
        <f t="shared" si="15"/>
        <v>2800.1022499999999</v>
      </c>
      <c r="J8" s="275">
        <f t="shared" si="7"/>
        <v>2959.6022499999999</v>
      </c>
      <c r="K8" s="275">
        <f t="shared" si="8"/>
        <v>3063.2772500000001</v>
      </c>
      <c r="L8" s="275">
        <f t="shared" si="9"/>
        <v>3166.9522500000003</v>
      </c>
      <c r="M8" s="275">
        <f t="shared" si="10"/>
        <v>3270.62725</v>
      </c>
      <c r="N8" s="275">
        <f t="shared" si="11"/>
        <v>3374.3022500000002</v>
      </c>
      <c r="O8" s="275">
        <f t="shared" si="12"/>
        <v>3477.9772499999999</v>
      </c>
      <c r="P8" s="275">
        <f t="shared" si="13"/>
        <v>3581.6522500000001</v>
      </c>
      <c r="Q8" s="362" t="s">
        <v>575</v>
      </c>
      <c r="R8" s="363"/>
      <c r="S8" s="372"/>
      <c r="T8" s="15">
        <f t="shared" si="5"/>
        <v>8.6249570299071848E-2</v>
      </c>
      <c r="U8" s="15">
        <f t="shared" si="5"/>
        <v>8.4576276893033903E-2</v>
      </c>
      <c r="V8" s="373">
        <v>7.9750000000000001E-2</v>
      </c>
      <c r="W8" s="371">
        <f t="shared" si="14"/>
        <v>7.9750000000000001E-2</v>
      </c>
      <c r="X8" s="371">
        <f t="shared" si="14"/>
        <v>7.9750000000000001E-2</v>
      </c>
      <c r="Y8" s="371">
        <f t="shared" si="14"/>
        <v>7.9750000000000001E-2</v>
      </c>
      <c r="Z8" s="371">
        <f t="shared" si="14"/>
        <v>7.9750000000000001E-2</v>
      </c>
      <c r="AA8" s="371">
        <f t="shared" si="14"/>
        <v>7.9750000000000001E-2</v>
      </c>
      <c r="AB8" s="371">
        <f t="shared" si="14"/>
        <v>7.9750000000000001E-2</v>
      </c>
      <c r="AC8" s="371">
        <f t="shared" si="14"/>
        <v>7.9750000000000001E-2</v>
      </c>
      <c r="AD8" s="6"/>
      <c r="AE8" s="6"/>
      <c r="AF8" s="6"/>
      <c r="AG8" s="6"/>
      <c r="AH8" s="6"/>
      <c r="AI8" s="6"/>
      <c r="AJ8" s="6"/>
      <c r="AK8" s="6"/>
      <c r="AL8" s="6"/>
      <c r="AM8" s="6"/>
      <c r="AN8" s="6"/>
      <c r="AO8" s="6"/>
      <c r="AP8" s="6"/>
    </row>
    <row r="9" spans="1:42" ht="15.75" x14ac:dyDescent="0.3">
      <c r="A9" s="361" t="s">
        <v>17</v>
      </c>
      <c r="B9" s="275"/>
      <c r="C9" s="279">
        <v>2368</v>
      </c>
      <c r="D9" s="275"/>
      <c r="E9" s="275"/>
      <c r="F9" s="275"/>
      <c r="G9" s="279">
        <v>2387</v>
      </c>
      <c r="H9" s="279">
        <v>2412</v>
      </c>
      <c r="I9" s="276">
        <f>V9*I$21</f>
        <v>2756.2134999999998</v>
      </c>
      <c r="J9" s="275">
        <f t="shared" si="7"/>
        <v>2913.2134999999998</v>
      </c>
      <c r="K9" s="275">
        <f t="shared" si="8"/>
        <v>3015.2635</v>
      </c>
      <c r="L9" s="275">
        <f t="shared" si="9"/>
        <v>3117.3135000000002</v>
      </c>
      <c r="M9" s="275">
        <f t="shared" si="10"/>
        <v>3219.3634999999999</v>
      </c>
      <c r="N9" s="275">
        <f t="shared" si="11"/>
        <v>3321.4135000000001</v>
      </c>
      <c r="O9" s="275">
        <f t="shared" si="12"/>
        <v>3423.4634999999998</v>
      </c>
      <c r="P9" s="275">
        <f t="shared" si="13"/>
        <v>3525.5135</v>
      </c>
      <c r="Q9" s="362" t="s">
        <v>575</v>
      </c>
      <c r="R9" s="363"/>
      <c r="S9" s="372"/>
      <c r="T9" s="15">
        <f t="shared" si="5"/>
        <v>8.2055689240288762E-2</v>
      </c>
      <c r="U9" s="15">
        <f t="shared" si="5"/>
        <v>8.1209386889330326E-2</v>
      </c>
      <c r="V9" s="373">
        <v>7.85E-2</v>
      </c>
      <c r="W9" s="371">
        <f t="shared" si="14"/>
        <v>7.85E-2</v>
      </c>
      <c r="X9" s="371">
        <f t="shared" si="14"/>
        <v>7.85E-2</v>
      </c>
      <c r="Y9" s="371">
        <f t="shared" si="14"/>
        <v>7.85E-2</v>
      </c>
      <c r="Z9" s="371">
        <f t="shared" si="14"/>
        <v>7.85E-2</v>
      </c>
      <c r="AA9" s="371">
        <f t="shared" si="14"/>
        <v>7.85E-2</v>
      </c>
      <c r="AB9" s="371">
        <f t="shared" si="14"/>
        <v>7.85E-2</v>
      </c>
      <c r="AC9" s="371">
        <f t="shared" si="14"/>
        <v>7.85E-2</v>
      </c>
      <c r="AD9" s="6"/>
      <c r="AE9" s="6"/>
      <c r="AF9" s="6"/>
      <c r="AG9" s="6"/>
      <c r="AH9" s="6"/>
      <c r="AI9" s="6"/>
      <c r="AJ9" s="6"/>
      <c r="AK9" s="6"/>
      <c r="AL9" s="6"/>
      <c r="AM9" s="6"/>
      <c r="AN9" s="6"/>
      <c r="AO9" s="6"/>
      <c r="AP9" s="6"/>
    </row>
    <row r="10" spans="1:42" ht="15.75" x14ac:dyDescent="0.3">
      <c r="A10" s="367" t="s">
        <v>18</v>
      </c>
      <c r="B10" s="275"/>
      <c r="C10" s="279">
        <v>1387</v>
      </c>
      <c r="D10" s="275"/>
      <c r="E10" s="275"/>
      <c r="F10" s="275"/>
      <c r="G10" s="279">
        <v>1370</v>
      </c>
      <c r="H10" s="279">
        <v>1383</v>
      </c>
      <c r="I10" s="276">
        <f t="shared" si="15"/>
        <v>1404.44</v>
      </c>
      <c r="J10" s="275">
        <f t="shared" si="7"/>
        <v>1484.44</v>
      </c>
      <c r="K10" s="275">
        <f t="shared" si="8"/>
        <v>1536.44</v>
      </c>
      <c r="L10" s="275">
        <f t="shared" si="9"/>
        <v>1588.44</v>
      </c>
      <c r="M10" s="275">
        <f t="shared" si="10"/>
        <v>1640.44</v>
      </c>
      <c r="N10" s="275">
        <f t="shared" si="11"/>
        <v>1692.44</v>
      </c>
      <c r="O10" s="275">
        <f t="shared" si="12"/>
        <v>1744.44</v>
      </c>
      <c r="P10" s="275">
        <f t="shared" si="13"/>
        <v>1796.44</v>
      </c>
      <c r="Q10" s="282" t="s">
        <v>721</v>
      </c>
      <c r="R10" s="363"/>
      <c r="S10" s="372"/>
      <c r="T10" s="15">
        <f t="shared" si="5"/>
        <v>4.7095221725678926E-2</v>
      </c>
      <c r="U10" s="15">
        <f t="shared" si="5"/>
        <v>4.6564088751220499E-2</v>
      </c>
      <c r="V10" s="373">
        <v>0.04</v>
      </c>
      <c r="W10" s="371">
        <f t="shared" si="14"/>
        <v>0.04</v>
      </c>
      <c r="X10" s="371">
        <f t="shared" si="14"/>
        <v>0.04</v>
      </c>
      <c r="Y10" s="371">
        <f t="shared" si="14"/>
        <v>0.04</v>
      </c>
      <c r="Z10" s="371">
        <f t="shared" si="14"/>
        <v>0.04</v>
      </c>
      <c r="AA10" s="371">
        <f t="shared" si="14"/>
        <v>0.04</v>
      </c>
      <c r="AB10" s="371">
        <f t="shared" si="14"/>
        <v>0.04</v>
      </c>
      <c r="AC10" s="371">
        <f t="shared" si="14"/>
        <v>0.04</v>
      </c>
      <c r="AD10" s="6"/>
      <c r="AE10" s="6"/>
      <c r="AF10" s="6"/>
      <c r="AG10" s="6"/>
      <c r="AH10" s="6"/>
      <c r="AI10" s="6"/>
      <c r="AJ10" s="6"/>
      <c r="AK10" s="6"/>
      <c r="AL10" s="6"/>
      <c r="AM10" s="6"/>
      <c r="AN10" s="6"/>
      <c r="AO10" s="6"/>
      <c r="AP10" s="6"/>
    </row>
    <row r="11" spans="1:42" ht="15.75" x14ac:dyDescent="0.3">
      <c r="A11" s="368" t="s">
        <v>19</v>
      </c>
      <c r="B11" s="275"/>
      <c r="C11" s="279">
        <v>1370</v>
      </c>
      <c r="D11" s="275"/>
      <c r="E11" s="275"/>
      <c r="F11" s="275"/>
      <c r="G11" s="279"/>
      <c r="H11" s="279"/>
      <c r="I11" s="276">
        <f t="shared" si="15"/>
        <v>1281.5515</v>
      </c>
      <c r="J11" s="275">
        <f t="shared" si="7"/>
        <v>1354.5514999999998</v>
      </c>
      <c r="K11" s="275">
        <f t="shared" si="8"/>
        <v>1402.0014999999999</v>
      </c>
      <c r="L11" s="275">
        <f t="shared" si="9"/>
        <v>1449.4514999999999</v>
      </c>
      <c r="M11" s="275">
        <f t="shared" si="10"/>
        <v>1496.9014999999999</v>
      </c>
      <c r="N11" s="275">
        <f t="shared" si="11"/>
        <v>1544.3515</v>
      </c>
      <c r="O11" s="275">
        <f t="shared" si="12"/>
        <v>1591.8014999999998</v>
      </c>
      <c r="P11" s="275">
        <f t="shared" si="13"/>
        <v>1639.2514999999999</v>
      </c>
      <c r="Q11" s="369" t="s">
        <v>720</v>
      </c>
      <c r="R11" s="363"/>
      <c r="S11" s="372"/>
      <c r="T11" s="15">
        <f t="shared" si="5"/>
        <v>0</v>
      </c>
      <c r="U11" s="15">
        <f t="shared" si="5"/>
        <v>0</v>
      </c>
      <c r="V11" s="373">
        <v>3.6499999999999998E-2</v>
      </c>
      <c r="W11" s="371">
        <f t="shared" si="14"/>
        <v>3.6499999999999998E-2</v>
      </c>
      <c r="X11" s="371">
        <f t="shared" si="14"/>
        <v>3.6499999999999998E-2</v>
      </c>
      <c r="Y11" s="371">
        <f t="shared" si="14"/>
        <v>3.6499999999999998E-2</v>
      </c>
      <c r="Z11" s="371">
        <f t="shared" si="14"/>
        <v>3.6499999999999998E-2</v>
      </c>
      <c r="AA11" s="371">
        <f t="shared" si="14"/>
        <v>3.6499999999999998E-2</v>
      </c>
      <c r="AB11" s="371">
        <f t="shared" si="14"/>
        <v>3.6499999999999998E-2</v>
      </c>
      <c r="AC11" s="371">
        <f t="shared" si="14"/>
        <v>3.6499999999999998E-2</v>
      </c>
      <c r="AD11" s="6"/>
      <c r="AE11" s="6"/>
      <c r="AF11" s="6"/>
      <c r="AG11" s="6"/>
      <c r="AH11" s="6"/>
      <c r="AI11" s="6"/>
      <c r="AJ11" s="6"/>
      <c r="AK11" s="6"/>
      <c r="AL11" s="6"/>
      <c r="AM11" s="6"/>
      <c r="AN11" s="6"/>
      <c r="AO11" s="6"/>
      <c r="AP11" s="6"/>
    </row>
    <row r="12" spans="1:42" ht="15.75" x14ac:dyDescent="0.3">
      <c r="A12" s="367" t="s">
        <v>20</v>
      </c>
      <c r="B12" s="275"/>
      <c r="C12" s="279">
        <v>1153</v>
      </c>
      <c r="D12" s="275"/>
      <c r="E12" s="275"/>
      <c r="F12" s="275"/>
      <c r="G12" s="279">
        <v>1135</v>
      </c>
      <c r="H12" s="279">
        <v>1186</v>
      </c>
      <c r="I12" s="276">
        <f t="shared" si="15"/>
        <v>1228.8850000000002</v>
      </c>
      <c r="J12" s="275">
        <f t="shared" si="7"/>
        <v>1298.8850000000002</v>
      </c>
      <c r="K12" s="275">
        <f t="shared" si="8"/>
        <v>1344.3850000000002</v>
      </c>
      <c r="L12" s="275">
        <f t="shared" si="9"/>
        <v>1389.8850000000002</v>
      </c>
      <c r="M12" s="275">
        <f t="shared" si="10"/>
        <v>1435.3850000000002</v>
      </c>
      <c r="N12" s="275">
        <f t="shared" si="11"/>
        <v>1480.8850000000002</v>
      </c>
      <c r="O12" s="275">
        <f t="shared" si="12"/>
        <v>1526.3850000000002</v>
      </c>
      <c r="P12" s="275">
        <f t="shared" si="13"/>
        <v>1571.8850000000002</v>
      </c>
      <c r="Q12" s="282" t="s">
        <v>721</v>
      </c>
      <c r="R12" s="363"/>
      <c r="S12" s="372"/>
      <c r="T12" s="15">
        <f t="shared" si="5"/>
        <v>3.901684427638364E-2</v>
      </c>
      <c r="U12" s="15">
        <f t="shared" si="5"/>
        <v>3.9931315443924448E-2</v>
      </c>
      <c r="V12" s="373">
        <v>3.5000000000000003E-2</v>
      </c>
      <c r="W12" s="371">
        <f t="shared" si="14"/>
        <v>3.5000000000000003E-2</v>
      </c>
      <c r="X12" s="371">
        <f t="shared" si="14"/>
        <v>3.5000000000000003E-2</v>
      </c>
      <c r="Y12" s="371">
        <f t="shared" si="14"/>
        <v>3.5000000000000003E-2</v>
      </c>
      <c r="Z12" s="371">
        <f t="shared" si="14"/>
        <v>3.5000000000000003E-2</v>
      </c>
      <c r="AA12" s="371">
        <f t="shared" si="14"/>
        <v>3.5000000000000003E-2</v>
      </c>
      <c r="AB12" s="371">
        <f t="shared" si="14"/>
        <v>3.5000000000000003E-2</v>
      </c>
      <c r="AC12" s="371">
        <f t="shared" si="14"/>
        <v>3.5000000000000003E-2</v>
      </c>
      <c r="AD12" s="6"/>
      <c r="AE12" s="6"/>
      <c r="AF12" s="6"/>
      <c r="AG12" s="6"/>
      <c r="AH12" s="6"/>
      <c r="AI12" s="6"/>
      <c r="AJ12" s="6"/>
      <c r="AK12" s="6"/>
      <c r="AL12" s="6"/>
      <c r="AM12" s="6"/>
      <c r="AN12" s="6"/>
      <c r="AO12" s="6"/>
      <c r="AP12" s="6"/>
    </row>
    <row r="13" spans="1:42" ht="15.75" x14ac:dyDescent="0.3">
      <c r="A13" s="367" t="s">
        <v>21</v>
      </c>
      <c r="B13" s="275"/>
      <c r="C13" s="279">
        <v>774</v>
      </c>
      <c r="D13" s="275"/>
      <c r="E13" s="275"/>
      <c r="F13" s="275"/>
      <c r="G13" s="279">
        <v>764</v>
      </c>
      <c r="H13" s="279">
        <v>774</v>
      </c>
      <c r="I13" s="276">
        <f t="shared" si="15"/>
        <v>842.66399999999999</v>
      </c>
      <c r="J13" s="275">
        <f t="shared" si="7"/>
        <v>890.66399999999999</v>
      </c>
      <c r="K13" s="275">
        <f t="shared" si="8"/>
        <v>921.86400000000003</v>
      </c>
      <c r="L13" s="275">
        <f t="shared" si="9"/>
        <v>953.06399999999996</v>
      </c>
      <c r="M13" s="275">
        <f t="shared" si="10"/>
        <v>984.26400000000001</v>
      </c>
      <c r="N13" s="275">
        <f t="shared" si="11"/>
        <v>1015.4640000000001</v>
      </c>
      <c r="O13" s="275">
        <f t="shared" si="12"/>
        <v>1046.664</v>
      </c>
      <c r="P13" s="275">
        <f t="shared" si="13"/>
        <v>1077.864</v>
      </c>
      <c r="Q13" s="282" t="s">
        <v>721</v>
      </c>
      <c r="R13" s="363"/>
      <c r="S13" s="372"/>
      <c r="T13" s="15">
        <f t="shared" si="5"/>
        <v>2.6263320728772774E-2</v>
      </c>
      <c r="U13" s="15">
        <f t="shared" si="5"/>
        <v>2.60597286286657E-2</v>
      </c>
      <c r="V13" s="373">
        <v>2.4E-2</v>
      </c>
      <c r="W13" s="371">
        <f t="shared" si="14"/>
        <v>2.4E-2</v>
      </c>
      <c r="X13" s="371">
        <f t="shared" si="14"/>
        <v>2.4E-2</v>
      </c>
      <c r="Y13" s="371">
        <f t="shared" si="14"/>
        <v>2.4E-2</v>
      </c>
      <c r="Z13" s="371">
        <f t="shared" si="14"/>
        <v>2.4E-2</v>
      </c>
      <c r="AA13" s="371">
        <f t="shared" si="14"/>
        <v>2.4E-2</v>
      </c>
      <c r="AB13" s="371">
        <f t="shared" si="14"/>
        <v>2.4E-2</v>
      </c>
      <c r="AC13" s="371">
        <f t="shared" si="14"/>
        <v>2.4E-2</v>
      </c>
      <c r="AD13" s="6"/>
      <c r="AE13" s="6"/>
      <c r="AF13" s="6"/>
      <c r="AG13" s="6"/>
      <c r="AH13" s="6"/>
      <c r="AI13" s="6"/>
      <c r="AJ13" s="6"/>
      <c r="AK13" s="6"/>
      <c r="AL13" s="6"/>
      <c r="AM13" s="6"/>
      <c r="AN13" s="6"/>
      <c r="AO13" s="6"/>
      <c r="AP13" s="6"/>
    </row>
    <row r="14" spans="1:42" ht="15.75" x14ac:dyDescent="0.3">
      <c r="A14" s="366" t="s">
        <v>22</v>
      </c>
      <c r="B14" s="275"/>
      <c r="C14" s="279">
        <v>725</v>
      </c>
      <c r="D14" s="275"/>
      <c r="E14" s="275"/>
      <c r="F14" s="275"/>
      <c r="G14" s="279">
        <v>741</v>
      </c>
      <c r="H14" s="279">
        <v>742</v>
      </c>
      <c r="I14" s="276">
        <f t="shared" si="15"/>
        <v>744.35320000000002</v>
      </c>
      <c r="J14" s="275">
        <f t="shared" si="7"/>
        <v>786.75319999999999</v>
      </c>
      <c r="K14" s="275">
        <f t="shared" si="8"/>
        <v>814.31320000000005</v>
      </c>
      <c r="L14" s="275">
        <f t="shared" si="9"/>
        <v>841.8732</v>
      </c>
      <c r="M14" s="275">
        <f t="shared" si="10"/>
        <v>869.43320000000006</v>
      </c>
      <c r="N14" s="275">
        <f t="shared" si="11"/>
        <v>896.9932</v>
      </c>
      <c r="O14" s="275">
        <f t="shared" si="12"/>
        <v>924.55320000000006</v>
      </c>
      <c r="P14" s="275">
        <f t="shared" si="13"/>
        <v>952.11320000000001</v>
      </c>
      <c r="Q14" s="280" t="s">
        <v>561</v>
      </c>
      <c r="R14" s="363"/>
      <c r="S14" s="372"/>
      <c r="T14" s="15">
        <f t="shared" si="5"/>
        <v>2.5472671020969406E-2</v>
      </c>
      <c r="U14" s="15">
        <f t="shared" si="5"/>
        <v>2.4982323827480557E-2</v>
      </c>
      <c r="V14" s="373">
        <v>2.12E-2</v>
      </c>
      <c r="W14" s="371">
        <f t="shared" si="14"/>
        <v>2.12E-2</v>
      </c>
      <c r="X14" s="371">
        <f t="shared" si="14"/>
        <v>2.12E-2</v>
      </c>
      <c r="Y14" s="371">
        <f t="shared" si="14"/>
        <v>2.12E-2</v>
      </c>
      <c r="Z14" s="371">
        <f t="shared" si="14"/>
        <v>2.12E-2</v>
      </c>
      <c r="AA14" s="371">
        <f t="shared" si="14"/>
        <v>2.12E-2</v>
      </c>
      <c r="AB14" s="371">
        <f t="shared" si="14"/>
        <v>2.12E-2</v>
      </c>
      <c r="AC14" s="371">
        <f t="shared" si="14"/>
        <v>2.12E-2</v>
      </c>
      <c r="AD14" s="6"/>
      <c r="AE14" s="6"/>
      <c r="AF14" s="6"/>
      <c r="AG14" s="6"/>
      <c r="AH14" s="6"/>
      <c r="AI14" s="6"/>
      <c r="AJ14" s="6"/>
      <c r="AK14" s="6"/>
      <c r="AL14" s="6"/>
      <c r="AM14" s="6"/>
      <c r="AN14" s="6"/>
      <c r="AO14" s="6"/>
      <c r="AP14" s="6"/>
    </row>
    <row r="15" spans="1:42" ht="15.75" x14ac:dyDescent="0.3">
      <c r="A15" s="367" t="s">
        <v>23</v>
      </c>
      <c r="B15" s="275"/>
      <c r="C15" s="279">
        <v>564</v>
      </c>
      <c r="D15" s="275"/>
      <c r="E15" s="275"/>
      <c r="F15" s="275"/>
      <c r="G15" s="279">
        <v>561</v>
      </c>
      <c r="H15" s="279">
        <v>573</v>
      </c>
      <c r="I15" s="276">
        <f t="shared" si="15"/>
        <v>596.88700000000006</v>
      </c>
      <c r="J15" s="275">
        <f t="shared" si="7"/>
        <v>630.88700000000006</v>
      </c>
      <c r="K15" s="275">
        <f t="shared" si="8"/>
        <v>652.98700000000008</v>
      </c>
      <c r="L15" s="275">
        <f t="shared" si="9"/>
        <v>675.0870000000001</v>
      </c>
      <c r="M15" s="275">
        <f t="shared" si="10"/>
        <v>697.18700000000001</v>
      </c>
      <c r="N15" s="275">
        <f t="shared" si="11"/>
        <v>719.28700000000003</v>
      </c>
      <c r="O15" s="275">
        <f t="shared" si="12"/>
        <v>741.38700000000006</v>
      </c>
      <c r="P15" s="275">
        <f t="shared" si="13"/>
        <v>763.48700000000008</v>
      </c>
      <c r="Q15" s="282" t="s">
        <v>721</v>
      </c>
      <c r="R15" s="363"/>
      <c r="S15" s="372"/>
      <c r="T15" s="15">
        <f t="shared" si="5"/>
        <v>1.9284977655551736E-2</v>
      </c>
      <c r="U15" s="15">
        <f t="shared" si="5"/>
        <v>1.9292279721221509E-2</v>
      </c>
      <c r="V15" s="373">
        <v>1.7000000000000001E-2</v>
      </c>
      <c r="W15" s="371">
        <f t="shared" si="14"/>
        <v>1.7000000000000001E-2</v>
      </c>
      <c r="X15" s="371">
        <f t="shared" si="14"/>
        <v>1.7000000000000001E-2</v>
      </c>
      <c r="Y15" s="371">
        <f t="shared" si="14"/>
        <v>1.7000000000000001E-2</v>
      </c>
      <c r="Z15" s="371">
        <f t="shared" si="14"/>
        <v>1.7000000000000001E-2</v>
      </c>
      <c r="AA15" s="371">
        <f t="shared" si="14"/>
        <v>1.7000000000000001E-2</v>
      </c>
      <c r="AB15" s="371">
        <f t="shared" si="14"/>
        <v>1.7000000000000001E-2</v>
      </c>
      <c r="AC15" s="371">
        <f t="shared" si="14"/>
        <v>1.7000000000000001E-2</v>
      </c>
      <c r="AD15" s="6"/>
      <c r="AE15" s="6"/>
      <c r="AF15" s="6"/>
      <c r="AG15" s="6"/>
      <c r="AH15" s="6"/>
      <c r="AI15" s="6"/>
      <c r="AJ15" s="6"/>
      <c r="AK15" s="6"/>
      <c r="AL15" s="6"/>
      <c r="AM15" s="6"/>
      <c r="AN15" s="6"/>
      <c r="AO15" s="6"/>
      <c r="AP15" s="6"/>
    </row>
    <row r="16" spans="1:42" ht="15.75" x14ac:dyDescent="0.3">
      <c r="A16" s="366" t="s">
        <v>24</v>
      </c>
      <c r="B16" s="278"/>
      <c r="C16" s="279">
        <v>552</v>
      </c>
      <c r="D16" s="278"/>
      <c r="E16" s="278"/>
      <c r="F16" s="278"/>
      <c r="G16" s="279">
        <v>552</v>
      </c>
      <c r="H16" s="279">
        <v>551</v>
      </c>
      <c r="I16" s="276">
        <f t="shared" si="15"/>
        <v>552.99824999999998</v>
      </c>
      <c r="J16" s="275">
        <f t="shared" si="7"/>
        <v>584.49824999999998</v>
      </c>
      <c r="K16" s="275">
        <f t="shared" si="8"/>
        <v>604.97325000000001</v>
      </c>
      <c r="L16" s="275">
        <f t="shared" si="9"/>
        <v>625.44825000000003</v>
      </c>
      <c r="M16" s="275">
        <f t="shared" si="10"/>
        <v>645.92325000000005</v>
      </c>
      <c r="N16" s="275">
        <f t="shared" si="11"/>
        <v>666.39824999999996</v>
      </c>
      <c r="O16" s="275">
        <f t="shared" si="12"/>
        <v>686.87324999999998</v>
      </c>
      <c r="P16" s="275">
        <f t="shared" si="13"/>
        <v>707.34825000000001</v>
      </c>
      <c r="Q16" s="280" t="s">
        <v>561</v>
      </c>
      <c r="R16" s="363"/>
      <c r="S16" s="372"/>
      <c r="T16" s="15">
        <f t="shared" si="5"/>
        <v>1.8975592987280854E-2</v>
      </c>
      <c r="U16" s="15">
        <f t="shared" si="5"/>
        <v>1.855156392040672E-2</v>
      </c>
      <c r="V16" s="373">
        <v>1.575E-2</v>
      </c>
      <c r="W16" s="371">
        <f t="shared" si="14"/>
        <v>1.575E-2</v>
      </c>
      <c r="X16" s="371">
        <f t="shared" si="14"/>
        <v>1.575E-2</v>
      </c>
      <c r="Y16" s="371">
        <f t="shared" si="14"/>
        <v>1.575E-2</v>
      </c>
      <c r="Z16" s="371">
        <f t="shared" si="14"/>
        <v>1.575E-2</v>
      </c>
      <c r="AA16" s="371">
        <f t="shared" si="14"/>
        <v>1.575E-2</v>
      </c>
      <c r="AB16" s="371">
        <f t="shared" si="14"/>
        <v>1.575E-2</v>
      </c>
      <c r="AC16" s="371">
        <f t="shared" si="14"/>
        <v>1.575E-2</v>
      </c>
      <c r="AD16" s="6"/>
      <c r="AE16" s="6"/>
      <c r="AF16" s="6"/>
      <c r="AG16" s="6"/>
      <c r="AH16" s="6"/>
      <c r="AI16" s="6"/>
      <c r="AJ16" s="6"/>
      <c r="AK16" s="6"/>
      <c r="AL16" s="6"/>
      <c r="AM16" s="6"/>
      <c r="AN16" s="6"/>
      <c r="AO16" s="6"/>
      <c r="AP16" s="6"/>
    </row>
    <row r="17" spans="1:42" ht="15.75" x14ac:dyDescent="0.3">
      <c r="A17" s="367" t="s">
        <v>25</v>
      </c>
      <c r="B17" s="278"/>
      <c r="C17" s="279">
        <v>547</v>
      </c>
      <c r="D17" s="278"/>
      <c r="E17" s="278"/>
      <c r="F17" s="278"/>
      <c r="G17" s="279">
        <v>545</v>
      </c>
      <c r="H17" s="279">
        <v>544</v>
      </c>
      <c r="I17" s="276">
        <f t="shared" si="15"/>
        <v>596.88700000000006</v>
      </c>
      <c r="J17" s="275">
        <f t="shared" si="7"/>
        <v>630.88700000000006</v>
      </c>
      <c r="K17" s="275">
        <f t="shared" si="8"/>
        <v>652.98700000000008</v>
      </c>
      <c r="L17" s="275">
        <f t="shared" si="9"/>
        <v>675.0870000000001</v>
      </c>
      <c r="M17" s="275">
        <f t="shared" si="10"/>
        <v>697.18700000000001</v>
      </c>
      <c r="N17" s="275">
        <f t="shared" si="11"/>
        <v>719.28700000000003</v>
      </c>
      <c r="O17" s="275">
        <f t="shared" si="12"/>
        <v>741.38700000000006</v>
      </c>
      <c r="P17" s="275">
        <f t="shared" si="13"/>
        <v>763.48700000000008</v>
      </c>
      <c r="Q17" s="282" t="s">
        <v>721</v>
      </c>
      <c r="R17" s="363"/>
      <c r="S17" s="372"/>
      <c r="T17" s="15">
        <f t="shared" si="5"/>
        <v>1.8734960467514609E-2</v>
      </c>
      <c r="U17" s="15">
        <f t="shared" si="5"/>
        <v>1.8315881620147471E-2</v>
      </c>
      <c r="V17" s="373">
        <v>1.7000000000000001E-2</v>
      </c>
      <c r="W17" s="371">
        <f t="shared" si="14"/>
        <v>1.7000000000000001E-2</v>
      </c>
      <c r="X17" s="371">
        <f t="shared" si="14"/>
        <v>1.7000000000000001E-2</v>
      </c>
      <c r="Y17" s="371">
        <f t="shared" si="14"/>
        <v>1.7000000000000001E-2</v>
      </c>
      <c r="Z17" s="371">
        <f t="shared" si="14"/>
        <v>1.7000000000000001E-2</v>
      </c>
      <c r="AA17" s="371">
        <f t="shared" si="14"/>
        <v>1.7000000000000001E-2</v>
      </c>
      <c r="AB17" s="371">
        <f t="shared" si="14"/>
        <v>1.7000000000000001E-2</v>
      </c>
      <c r="AC17" s="371">
        <f t="shared" si="14"/>
        <v>1.7000000000000001E-2</v>
      </c>
      <c r="AD17" s="6"/>
      <c r="AE17" s="6"/>
      <c r="AF17" s="6"/>
      <c r="AG17" s="6"/>
      <c r="AH17" s="6"/>
      <c r="AI17" s="6"/>
      <c r="AJ17" s="6"/>
      <c r="AK17" s="6"/>
      <c r="AL17" s="6"/>
      <c r="AM17" s="6"/>
      <c r="AN17" s="6"/>
      <c r="AO17" s="6"/>
      <c r="AP17" s="6"/>
    </row>
    <row r="18" spans="1:42" ht="15.75" x14ac:dyDescent="0.3">
      <c r="A18" s="368" t="s">
        <v>98</v>
      </c>
      <c r="B18" s="278"/>
      <c r="C18" s="279">
        <v>98</v>
      </c>
      <c r="D18" s="278"/>
      <c r="E18" s="278"/>
      <c r="F18" s="278"/>
      <c r="G18" s="279">
        <v>176</v>
      </c>
      <c r="H18" s="279">
        <v>98</v>
      </c>
      <c r="I18" s="276">
        <f t="shared" si="15"/>
        <v>96.697099999994705</v>
      </c>
      <c r="J18" s="275">
        <f t="shared" si="7"/>
        <v>374.28534154701646</v>
      </c>
      <c r="K18" s="275">
        <f t="shared" si="8"/>
        <v>419.70358309403815</v>
      </c>
      <c r="L18" s="275">
        <f t="shared" si="9"/>
        <v>461.22182464106004</v>
      </c>
      <c r="M18" s="275">
        <f t="shared" si="10"/>
        <v>498.84006618808456</v>
      </c>
      <c r="N18" s="275">
        <f t="shared" si="11"/>
        <v>532.55830773510809</v>
      </c>
      <c r="O18" s="275">
        <f t="shared" si="12"/>
        <v>562.37654928213158</v>
      </c>
      <c r="P18" s="275">
        <f t="shared" si="13"/>
        <v>588.29479082915384</v>
      </c>
      <c r="Q18" s="369" t="s">
        <v>720</v>
      </c>
      <c r="R18" s="363"/>
      <c r="S18" s="372"/>
      <c r="T18" s="15">
        <f t="shared" si="5"/>
        <v>6.0501890684083875E-3</v>
      </c>
      <c r="U18" s="15">
        <f t="shared" si="5"/>
        <v>3.2995522036295072E-3</v>
      </c>
      <c r="V18" s="370">
        <f>1-SUM(V4:V17)-V19-V20</f>
        <v>2.7540400444303697E-3</v>
      </c>
      <c r="W18" s="370">
        <f t="shared" ref="W18:AC18" si="16">1-SUM(W4:W17)-W19-W20</f>
        <v>1.0085563351755988E-2</v>
      </c>
      <c r="X18" s="370">
        <f t="shared" si="16"/>
        <v>1.0926650779569346E-2</v>
      </c>
      <c r="Y18" s="370">
        <f t="shared" si="16"/>
        <v>1.1614460090178037E-2</v>
      </c>
      <c r="Z18" s="370">
        <f t="shared" si="16"/>
        <v>1.21635674864813E-2</v>
      </c>
      <c r="AA18" s="370">
        <f t="shared" si="16"/>
        <v>1.2586757763586491E-2</v>
      </c>
      <c r="AB18" s="370">
        <f t="shared" si="16"/>
        <v>1.2895291309122276E-2</v>
      </c>
      <c r="AC18" s="370">
        <f t="shared" si="16"/>
        <v>1.3099124731784059E-2</v>
      </c>
      <c r="AD18" s="6"/>
      <c r="AE18" s="6"/>
      <c r="AF18" s="6"/>
      <c r="AG18" s="6"/>
      <c r="AH18" s="6"/>
      <c r="AI18" s="6"/>
      <c r="AJ18" s="6"/>
      <c r="AK18" s="6"/>
      <c r="AL18" s="6"/>
      <c r="AM18" s="6"/>
      <c r="AN18" s="6"/>
      <c r="AO18" s="6"/>
      <c r="AP18" s="6"/>
    </row>
    <row r="19" spans="1:42" ht="15.75" x14ac:dyDescent="0.3">
      <c r="A19" s="248" t="s">
        <v>26</v>
      </c>
      <c r="B19" s="278"/>
      <c r="C19" s="278"/>
      <c r="D19" s="278"/>
      <c r="E19" s="278"/>
      <c r="F19" s="278"/>
      <c r="G19" s="275"/>
      <c r="H19" s="275"/>
      <c r="I19" s="283"/>
      <c r="J19" s="278"/>
      <c r="K19" s="278"/>
      <c r="L19" s="278"/>
      <c r="M19" s="278"/>
      <c r="N19" s="278"/>
      <c r="O19" s="278"/>
      <c r="P19" s="278"/>
      <c r="Q19" s="278"/>
      <c r="R19" s="274"/>
      <c r="S19" s="372"/>
      <c r="T19" s="15"/>
      <c r="U19" s="15"/>
      <c r="V19" s="373"/>
      <c r="W19" s="371"/>
      <c r="X19" s="371"/>
      <c r="Y19" s="371"/>
      <c r="Z19" s="371"/>
      <c r="AA19" s="371"/>
      <c r="AB19" s="371"/>
      <c r="AC19" s="371"/>
      <c r="AD19" s="6"/>
      <c r="AE19" s="6"/>
      <c r="AF19" s="6"/>
      <c r="AG19" s="6"/>
      <c r="AH19" s="6"/>
      <c r="AI19" s="6"/>
      <c r="AJ19" s="6"/>
      <c r="AK19" s="6"/>
      <c r="AL19" s="6"/>
      <c r="AM19" s="6"/>
      <c r="AN19" s="6"/>
      <c r="AO19" s="6"/>
      <c r="AP19" s="6"/>
    </row>
    <row r="20" spans="1:42" ht="15.75" x14ac:dyDescent="0.3">
      <c r="A20" s="364" t="s">
        <v>27</v>
      </c>
      <c r="B20" s="285"/>
      <c r="C20" s="285"/>
      <c r="D20" s="285"/>
      <c r="E20" s="285"/>
      <c r="F20" s="285"/>
      <c r="G20" s="285"/>
      <c r="H20" s="285"/>
      <c r="I20" s="286">
        <f t="shared" si="15"/>
        <v>103.57745</v>
      </c>
      <c r="J20" s="285">
        <f t="shared" si="7"/>
        <v>165.14394999999999</v>
      </c>
      <c r="K20" s="285">
        <f t="shared" ref="K20" si="17">X20*K$21</f>
        <v>228.54545000000002</v>
      </c>
      <c r="L20" s="285">
        <f t="shared" ref="L20" si="18">Y20*L$21</f>
        <v>295.84694999999999</v>
      </c>
      <c r="M20" s="285">
        <f t="shared" ref="M20" si="19">Z20*M$21</f>
        <v>367.04845</v>
      </c>
      <c r="N20" s="285">
        <f t="shared" ref="N20" si="20">AA20*N$21</f>
        <v>442.14994999999999</v>
      </c>
      <c r="O20" s="285">
        <f t="shared" ref="O20" si="21">AB20*O$21</f>
        <v>521.15144999999995</v>
      </c>
      <c r="P20" s="285">
        <f t="shared" ref="P20" si="22">AC20*P$21</f>
        <v>604.0529499999999</v>
      </c>
      <c r="Q20" s="365" t="s">
        <v>575</v>
      </c>
      <c r="R20" s="363"/>
      <c r="S20" s="372"/>
      <c r="T20" s="15">
        <f t="shared" si="5"/>
        <v>0</v>
      </c>
      <c r="U20" s="15">
        <f t="shared" si="5"/>
        <v>0</v>
      </c>
      <c r="V20" s="373">
        <v>2.9499999999999999E-3</v>
      </c>
      <c r="W20" s="371">
        <f>V20+0.15%</f>
        <v>4.45E-3</v>
      </c>
      <c r="X20" s="371">
        <f t="shared" ref="X20:AC20" si="23">W20+0.15%</f>
        <v>5.9500000000000004E-3</v>
      </c>
      <c r="Y20" s="371">
        <f t="shared" si="23"/>
        <v>7.45E-3</v>
      </c>
      <c r="Z20" s="371">
        <f t="shared" si="23"/>
        <v>8.9499999999999996E-3</v>
      </c>
      <c r="AA20" s="371">
        <f t="shared" si="23"/>
        <v>1.0449999999999999E-2</v>
      </c>
      <c r="AB20" s="371">
        <f t="shared" si="23"/>
        <v>1.1949999999999999E-2</v>
      </c>
      <c r="AC20" s="371">
        <f t="shared" si="23"/>
        <v>1.3449999999999998E-2</v>
      </c>
      <c r="AD20" s="6"/>
      <c r="AE20" s="6"/>
      <c r="AF20" s="6"/>
      <c r="AG20" s="6"/>
      <c r="AH20" s="6"/>
      <c r="AI20" s="6"/>
      <c r="AJ20" s="6"/>
      <c r="AK20" s="6"/>
      <c r="AL20" s="6"/>
      <c r="AM20" s="6"/>
      <c r="AN20" s="6"/>
      <c r="AO20" s="6"/>
      <c r="AP20" s="6"/>
    </row>
    <row r="21" spans="1:42" ht="15.75" x14ac:dyDescent="0.3">
      <c r="A21" s="254" t="s">
        <v>8</v>
      </c>
      <c r="B21" s="272"/>
      <c r="C21" s="272"/>
      <c r="D21" s="272"/>
      <c r="E21" s="272"/>
      <c r="F21" s="272"/>
      <c r="G21" s="272">
        <f>SUM(G4:G20)</f>
        <v>29090</v>
      </c>
      <c r="H21" s="272">
        <f>SUM(H4:H20)</f>
        <v>29701</v>
      </c>
      <c r="I21" s="272">
        <f t="shared" ref="I21:P21" si="24">H21+I22</f>
        <v>35111</v>
      </c>
      <c r="J21" s="272">
        <f t="shared" si="24"/>
        <v>37111</v>
      </c>
      <c r="K21" s="272">
        <f t="shared" si="24"/>
        <v>38411</v>
      </c>
      <c r="L21" s="272">
        <f t="shared" si="24"/>
        <v>39711</v>
      </c>
      <c r="M21" s="272">
        <f t="shared" si="24"/>
        <v>41011</v>
      </c>
      <c r="N21" s="272">
        <f t="shared" si="24"/>
        <v>42311</v>
      </c>
      <c r="O21" s="272">
        <f t="shared" si="24"/>
        <v>43611</v>
      </c>
      <c r="P21" s="272">
        <f t="shared" si="24"/>
        <v>44911</v>
      </c>
      <c r="Q21" s="287"/>
      <c r="R21" s="287"/>
      <c r="S21" s="287"/>
      <c r="T21" s="6"/>
      <c r="U21" s="6"/>
      <c r="V21" s="6"/>
      <c r="W21" s="6"/>
      <c r="X21" s="6"/>
      <c r="Y21" s="6"/>
      <c r="Z21" s="6"/>
      <c r="AA21" s="6"/>
      <c r="AB21" s="6"/>
      <c r="AC21" s="6"/>
      <c r="AD21" s="6"/>
      <c r="AE21" s="6"/>
      <c r="AF21" s="6"/>
      <c r="AG21" s="6"/>
      <c r="AH21" s="6"/>
      <c r="AI21" s="6"/>
      <c r="AJ21" s="6"/>
      <c r="AK21" s="6"/>
      <c r="AL21" s="6"/>
      <c r="AM21" s="6"/>
      <c r="AN21" s="6"/>
      <c r="AO21" s="6"/>
      <c r="AP21" s="6"/>
    </row>
    <row r="22" spans="1:42" ht="15.75" x14ac:dyDescent="0.3">
      <c r="A22" s="248" t="s">
        <v>412</v>
      </c>
      <c r="B22" s="275"/>
      <c r="C22" s="275"/>
      <c r="D22" s="275"/>
      <c r="E22" s="275"/>
      <c r="F22" s="275"/>
      <c r="G22" s="275"/>
      <c r="H22" s="288">
        <f>H21-G21</f>
        <v>611</v>
      </c>
      <c r="I22" s="288">
        <v>5410</v>
      </c>
      <c r="J22" s="289">
        <v>2000</v>
      </c>
      <c r="K22" s="289">
        <v>1300</v>
      </c>
      <c r="L22" s="289">
        <v>1300</v>
      </c>
      <c r="M22" s="289">
        <v>1300</v>
      </c>
      <c r="N22" s="289">
        <v>1300</v>
      </c>
      <c r="O22" s="289">
        <v>1300</v>
      </c>
      <c r="P22" s="289">
        <v>1300</v>
      </c>
      <c r="Q22" s="6"/>
      <c r="R22" s="6"/>
      <c r="S22" s="6"/>
      <c r="T22" s="6"/>
      <c r="U22" s="6"/>
      <c r="V22" s="6"/>
      <c r="W22" s="6"/>
      <c r="X22" s="6"/>
      <c r="Y22" s="6"/>
      <c r="Z22" s="6"/>
      <c r="AA22" s="6"/>
      <c r="AB22" s="6"/>
      <c r="AC22" s="6"/>
      <c r="AD22" s="6"/>
      <c r="AE22" s="6"/>
      <c r="AF22" s="6"/>
      <c r="AG22" s="6"/>
      <c r="AH22" s="6"/>
      <c r="AI22" s="6"/>
      <c r="AJ22" s="6"/>
      <c r="AK22" s="6"/>
      <c r="AL22" s="6"/>
      <c r="AM22" s="6"/>
      <c r="AN22" s="6"/>
      <c r="AO22" s="6"/>
      <c r="AP22" s="6"/>
    </row>
    <row r="23" spans="1:42" ht="15.75" x14ac:dyDescent="0.3">
      <c r="A23" s="290" t="s">
        <v>413</v>
      </c>
      <c r="B23" s="275"/>
      <c r="C23" s="275"/>
      <c r="D23" s="275"/>
      <c r="E23" s="275"/>
      <c r="F23" s="275"/>
      <c r="G23" s="275"/>
      <c r="H23" s="275">
        <f>C11</f>
        <v>1370</v>
      </c>
      <c r="I23" s="398">
        <f>1388+2980</f>
        <v>4368</v>
      </c>
      <c r="J23" s="289">
        <v>0</v>
      </c>
      <c r="K23" s="289">
        <v>0</v>
      </c>
      <c r="L23" s="289">
        <v>0</v>
      </c>
      <c r="M23" s="289">
        <v>0</v>
      </c>
      <c r="N23" s="289">
        <v>0</v>
      </c>
      <c r="O23" s="289">
        <v>0</v>
      </c>
      <c r="P23" s="289">
        <v>0</v>
      </c>
      <c r="Q23" s="6"/>
      <c r="R23" s="6"/>
      <c r="S23" s="6"/>
      <c r="T23" s="6"/>
      <c r="U23" s="6"/>
      <c r="V23" s="6"/>
      <c r="W23" s="6"/>
      <c r="X23" s="6"/>
      <c r="Y23" s="6"/>
      <c r="Z23" s="6"/>
      <c r="AA23" s="6"/>
      <c r="AB23" s="6"/>
      <c r="AC23" s="6"/>
      <c r="AD23" s="6"/>
      <c r="AE23" s="6"/>
      <c r="AF23" s="6"/>
      <c r="AG23" s="6"/>
      <c r="AH23" s="6"/>
      <c r="AI23" s="6"/>
      <c r="AJ23" s="6"/>
      <c r="AK23" s="6"/>
      <c r="AL23" s="6"/>
      <c r="AM23" s="6"/>
      <c r="AN23" s="6"/>
      <c r="AO23" s="6"/>
      <c r="AP23" s="6"/>
    </row>
    <row r="24" spans="1:42" ht="15.75" x14ac:dyDescent="0.3">
      <c r="A24" s="290" t="s">
        <v>414</v>
      </c>
      <c r="B24" s="275"/>
      <c r="C24" s="275"/>
      <c r="D24" s="275"/>
      <c r="E24" s="275"/>
      <c r="F24" s="275"/>
      <c r="G24" s="275"/>
      <c r="H24" s="275">
        <f>H22-H23</f>
        <v>-759</v>
      </c>
      <c r="I24" s="275">
        <f>I22-I23</f>
        <v>1042</v>
      </c>
      <c r="J24" s="275">
        <f t="shared" ref="J24:P24" si="25">J22-J23</f>
        <v>2000</v>
      </c>
      <c r="K24" s="275">
        <f t="shared" si="25"/>
        <v>1300</v>
      </c>
      <c r="L24" s="275">
        <f t="shared" si="25"/>
        <v>1300</v>
      </c>
      <c r="M24" s="275">
        <f t="shared" si="25"/>
        <v>1300</v>
      </c>
      <c r="N24" s="275">
        <f t="shared" si="25"/>
        <v>1300</v>
      </c>
      <c r="O24" s="275">
        <f t="shared" si="25"/>
        <v>1300</v>
      </c>
      <c r="P24" s="275">
        <f t="shared" si="25"/>
        <v>1300</v>
      </c>
      <c r="Q24" s="6"/>
      <c r="R24" s="6"/>
      <c r="S24" s="6"/>
      <c r="T24" s="6"/>
      <c r="U24" s="6"/>
      <c r="V24" s="6"/>
      <c r="W24" s="6"/>
      <c r="X24" s="6"/>
      <c r="Y24" s="6"/>
      <c r="Z24" s="6"/>
      <c r="AA24" s="6"/>
      <c r="AB24" s="6"/>
      <c r="AC24" s="6"/>
      <c r="AD24" s="6"/>
      <c r="AE24" s="6"/>
      <c r="AF24" s="6"/>
      <c r="AG24" s="6"/>
      <c r="AH24" s="6"/>
      <c r="AI24" s="6"/>
      <c r="AJ24" s="6"/>
      <c r="AK24" s="6"/>
      <c r="AL24" s="6"/>
      <c r="AM24" s="6"/>
      <c r="AN24" s="6"/>
      <c r="AO24" s="6"/>
      <c r="AP24" s="6"/>
    </row>
    <row r="25" spans="1:42" ht="15.75" x14ac:dyDescent="0.3">
      <c r="A25" s="248" t="s">
        <v>411</v>
      </c>
      <c r="B25" s="275"/>
      <c r="C25" s="275"/>
      <c r="D25" s="275"/>
      <c r="E25" s="275"/>
      <c r="F25" s="275"/>
      <c r="G25" s="275">
        <f>G21-G4-G17-G8</f>
        <v>14803</v>
      </c>
      <c r="H25" s="275">
        <f t="shared" ref="H25:P25" si="26">H21-H4-H17-H8</f>
        <v>15402</v>
      </c>
      <c r="I25" s="275">
        <f t="shared" si="26"/>
        <v>20361.010750000001</v>
      </c>
      <c r="J25" s="275">
        <f t="shared" si="26"/>
        <v>21848.565491547022</v>
      </c>
      <c r="K25" s="275">
        <f t="shared" si="26"/>
        <v>22703.845233094045</v>
      </c>
      <c r="L25" s="275">
        <f t="shared" si="26"/>
        <v>23559.124974641069</v>
      </c>
      <c r="M25" s="275">
        <f t="shared" si="26"/>
        <v>24414.404716188088</v>
      </c>
      <c r="N25" s="275">
        <f t="shared" si="26"/>
        <v>25269.684457735111</v>
      </c>
      <c r="O25" s="275">
        <f t="shared" si="26"/>
        <v>26124.964199282138</v>
      </c>
      <c r="P25" s="275">
        <f t="shared" si="26"/>
        <v>26980.243940829161</v>
      </c>
      <c r="Q25" s="6"/>
      <c r="R25" s="6"/>
      <c r="S25" s="6"/>
      <c r="T25" s="6"/>
      <c r="U25" s="6"/>
      <c r="V25" s="6"/>
      <c r="W25" s="6"/>
      <c r="X25" s="6"/>
      <c r="Y25" s="6"/>
      <c r="Z25" s="6"/>
      <c r="AA25" s="6"/>
      <c r="AB25" s="6"/>
      <c r="AC25" s="6"/>
      <c r="AD25" s="6"/>
      <c r="AE25" s="6"/>
      <c r="AF25" s="6"/>
      <c r="AG25" s="6"/>
      <c r="AH25" s="6"/>
      <c r="AI25" s="6"/>
      <c r="AJ25" s="6"/>
      <c r="AK25" s="6"/>
      <c r="AL25" s="6"/>
      <c r="AM25" s="6"/>
      <c r="AN25" s="6"/>
      <c r="AO25" s="6"/>
      <c r="AP25" s="6"/>
    </row>
    <row r="26" spans="1:42" ht="15.75" x14ac:dyDescent="0.3">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row>
    <row r="27" spans="1:42" ht="15.75" x14ac:dyDescent="0.3">
      <c r="A27" s="248"/>
      <c r="B27" s="275"/>
      <c r="C27" s="275"/>
      <c r="D27" s="275"/>
      <c r="E27" s="275"/>
      <c r="F27" s="275"/>
      <c r="G27" s="275"/>
      <c r="H27" s="289"/>
      <c r="I27" s="289"/>
      <c r="J27" s="289"/>
      <c r="K27" s="289"/>
      <c r="L27" s="289"/>
      <c r="M27" s="289"/>
      <c r="N27" s="289"/>
      <c r="O27" s="289"/>
      <c r="P27" s="289"/>
      <c r="Q27" s="6"/>
      <c r="R27" s="6"/>
      <c r="S27" s="6"/>
      <c r="T27" s="12"/>
      <c r="U27" s="6"/>
      <c r="W27" s="12"/>
      <c r="X27" s="6"/>
      <c r="Y27" s="6"/>
      <c r="Z27" s="6"/>
      <c r="AA27" s="6"/>
      <c r="AB27" s="6"/>
      <c r="AC27" s="6"/>
      <c r="AD27" s="6"/>
      <c r="AE27" s="6"/>
      <c r="AF27" s="6"/>
      <c r="AG27" s="6"/>
      <c r="AH27" s="6"/>
      <c r="AI27" s="6"/>
      <c r="AJ27" s="6"/>
      <c r="AK27" s="6"/>
      <c r="AL27" s="6"/>
      <c r="AM27" s="6"/>
      <c r="AN27" s="6"/>
      <c r="AO27" s="6"/>
      <c r="AP27" s="6"/>
    </row>
    <row r="28" spans="1:42" ht="15.75" x14ac:dyDescent="0.3">
      <c r="A28" s="248"/>
      <c r="B28" s="275"/>
      <c r="C28" s="275"/>
      <c r="D28" s="275"/>
      <c r="E28" s="275"/>
      <c r="F28" s="275"/>
      <c r="G28" s="275"/>
      <c r="H28" s="289"/>
      <c r="I28" s="289"/>
      <c r="J28" s="289"/>
      <c r="K28" s="289"/>
      <c r="L28" s="289"/>
      <c r="M28" s="289"/>
      <c r="N28" s="289"/>
      <c r="O28" s="289"/>
      <c r="P28" s="289"/>
      <c r="Q28" s="6"/>
      <c r="R28" s="6"/>
      <c r="S28" s="6"/>
      <c r="T28" s="12"/>
      <c r="U28" s="6"/>
      <c r="W28" s="12"/>
      <c r="X28" s="6"/>
      <c r="Y28" s="6"/>
      <c r="Z28" s="6"/>
      <c r="AA28" s="6"/>
      <c r="AB28" s="6"/>
      <c r="AC28" s="6"/>
      <c r="AD28" s="6"/>
      <c r="AE28" s="6"/>
      <c r="AF28" s="6"/>
      <c r="AG28" s="6"/>
      <c r="AH28" s="6"/>
      <c r="AI28" s="6"/>
      <c r="AJ28" s="6"/>
      <c r="AK28" s="6"/>
      <c r="AL28" s="6"/>
      <c r="AM28" s="6"/>
      <c r="AN28" s="6"/>
      <c r="AO28" s="6"/>
      <c r="AP28" s="6"/>
    </row>
    <row r="29" spans="1:42" ht="15.75" x14ac:dyDescent="0.3">
      <c r="A29" s="270" t="s">
        <v>397</v>
      </c>
      <c r="B29" s="285"/>
      <c r="C29" s="285"/>
      <c r="D29" s="285"/>
      <c r="E29" s="285"/>
      <c r="F29" s="285"/>
      <c r="G29" s="285"/>
      <c r="H29" s="291"/>
      <c r="I29" s="291"/>
      <c r="J29" s="291"/>
      <c r="K29" s="291"/>
      <c r="L29" s="291"/>
      <c r="M29" s="291"/>
      <c r="N29" s="291"/>
      <c r="O29" s="291"/>
      <c r="P29" s="291"/>
      <c r="Q29" s="6"/>
      <c r="R29" s="6"/>
      <c r="S29" s="6"/>
      <c r="T29" s="391"/>
      <c r="U29" s="391"/>
      <c r="V29" s="391"/>
      <c r="W29" s="391"/>
      <c r="X29" s="391"/>
      <c r="Y29" s="391"/>
      <c r="Z29" s="391"/>
      <c r="AA29" s="6"/>
      <c r="AB29" s="6"/>
      <c r="AC29" s="6"/>
      <c r="AD29" s="6"/>
      <c r="AE29" s="6"/>
      <c r="AF29" s="6"/>
      <c r="AG29" s="6"/>
      <c r="AH29" s="6"/>
      <c r="AI29" s="6"/>
      <c r="AJ29" s="6"/>
      <c r="AK29" s="6"/>
      <c r="AL29" s="6"/>
      <c r="AM29" s="6"/>
      <c r="AN29" s="6"/>
      <c r="AO29" s="6"/>
      <c r="AP29" s="6"/>
    </row>
    <row r="30" spans="1:42" ht="15.75" x14ac:dyDescent="0.3">
      <c r="A30" s="360" t="s">
        <v>12</v>
      </c>
      <c r="B30" s="275"/>
      <c r="C30" s="275"/>
      <c r="D30" s="275"/>
      <c r="E30" s="275"/>
      <c r="F30" s="275"/>
      <c r="G30" s="275">
        <f t="shared" ref="G30:G44" si="27">G54*G4</f>
        <v>14153.58</v>
      </c>
      <c r="H30" s="276">
        <f t="shared" ref="H30:P30" si="28">H54*H4</f>
        <v>15065.62</v>
      </c>
      <c r="I30" s="275">
        <f t="shared" si="28"/>
        <v>14758.9</v>
      </c>
      <c r="J30" s="275">
        <f t="shared" si="28"/>
        <v>15290.248288573401</v>
      </c>
      <c r="K30" s="275">
        <f t="shared" si="28"/>
        <v>15827.97548231586</v>
      </c>
      <c r="L30" s="275">
        <f t="shared" si="28"/>
        <v>16372.08158122738</v>
      </c>
      <c r="M30" s="275">
        <f t="shared" si="28"/>
        <v>16922.566585307959</v>
      </c>
      <c r="N30" s="275">
        <f t="shared" si="28"/>
        <v>17479.430494557597</v>
      </c>
      <c r="O30" s="275">
        <f t="shared" si="28"/>
        <v>18042.673308976297</v>
      </c>
      <c r="P30" s="275">
        <f t="shared" si="28"/>
        <v>18612.295028564055</v>
      </c>
      <c r="Q30" s="6"/>
      <c r="R30" s="6"/>
      <c r="S30" s="6"/>
      <c r="T30" s="391"/>
      <c r="U30" s="391"/>
      <c r="V30" s="391"/>
      <c r="W30" s="391"/>
      <c r="X30" s="391"/>
      <c r="Y30" s="391"/>
      <c r="Z30" s="391"/>
      <c r="AA30" s="6"/>
      <c r="AB30" s="6"/>
      <c r="AC30" s="6"/>
      <c r="AD30" s="6"/>
      <c r="AE30" s="6"/>
      <c r="AF30" s="6"/>
      <c r="AG30" s="6"/>
      <c r="AH30" s="6"/>
      <c r="AI30" s="6"/>
      <c r="AJ30" s="6"/>
      <c r="AK30" s="6"/>
      <c r="AL30" s="6"/>
      <c r="AM30" s="6"/>
      <c r="AN30" s="6"/>
      <c r="AO30" s="6"/>
      <c r="AP30" s="6"/>
    </row>
    <row r="31" spans="1:42" ht="15.75" x14ac:dyDescent="0.3">
      <c r="A31" s="366" t="s">
        <v>13</v>
      </c>
      <c r="B31" s="275"/>
      <c r="C31" s="275"/>
      <c r="D31" s="275"/>
      <c r="E31" s="275"/>
      <c r="F31" s="275"/>
      <c r="G31" s="275">
        <f t="shared" si="27"/>
        <v>4695.1619999999994</v>
      </c>
      <c r="H31" s="276">
        <f t="shared" ref="H31:P31" si="29">H55*H5</f>
        <v>4947.5999999999995</v>
      </c>
      <c r="I31" s="275">
        <f t="shared" si="29"/>
        <v>4992.4330900000004</v>
      </c>
      <c r="J31" s="275">
        <f t="shared" si="29"/>
        <v>5276.8130900000006</v>
      </c>
      <c r="K31" s="275">
        <f t="shared" si="29"/>
        <v>5461.6600899999994</v>
      </c>
      <c r="L31" s="275">
        <f t="shared" si="29"/>
        <v>5646.5070900000001</v>
      </c>
      <c r="M31" s="275">
        <f t="shared" si="29"/>
        <v>5831.3540899999998</v>
      </c>
      <c r="N31" s="275">
        <f t="shared" si="29"/>
        <v>6016.2010899999996</v>
      </c>
      <c r="O31" s="275">
        <f t="shared" si="29"/>
        <v>6201.0480900000002</v>
      </c>
      <c r="P31" s="275">
        <f t="shared" si="29"/>
        <v>6385.89509</v>
      </c>
      <c r="Q31" s="6"/>
      <c r="R31" s="6"/>
      <c r="S31" s="6"/>
      <c r="T31" s="391"/>
      <c r="U31" s="381"/>
      <c r="V31" s="392"/>
      <c r="W31" s="392"/>
      <c r="X31" s="381"/>
      <c r="Y31" s="381"/>
      <c r="Z31" s="381"/>
      <c r="AA31" s="6"/>
      <c r="AB31" s="6"/>
      <c r="AC31" s="6"/>
      <c r="AD31" s="6"/>
      <c r="AE31" s="6"/>
      <c r="AF31" s="6"/>
      <c r="AG31" s="6"/>
      <c r="AH31" s="6"/>
      <c r="AI31" s="6"/>
      <c r="AJ31" s="6"/>
      <c r="AK31" s="6"/>
      <c r="AL31" s="6"/>
      <c r="AM31" s="6"/>
      <c r="AN31" s="6"/>
      <c r="AO31" s="6"/>
      <c r="AP31" s="6"/>
    </row>
    <row r="32" spans="1:42" ht="15.75" x14ac:dyDescent="0.3">
      <c r="A32" s="361" t="s">
        <v>14</v>
      </c>
      <c r="B32" s="275"/>
      <c r="C32" s="275"/>
      <c r="D32" s="275"/>
      <c r="E32" s="275"/>
      <c r="F32" s="275"/>
      <c r="G32" s="275">
        <f t="shared" si="27"/>
        <v>0</v>
      </c>
      <c r="H32" s="276">
        <f t="shared" ref="H32:P32" si="30">H56*H6</f>
        <v>540</v>
      </c>
      <c r="I32" s="276">
        <f t="shared" si="30"/>
        <v>3817.5312525000004</v>
      </c>
      <c r="J32" s="275">
        <f t="shared" si="30"/>
        <v>4034.9862525000003</v>
      </c>
      <c r="K32" s="275">
        <f t="shared" si="30"/>
        <v>4176.3320025000003</v>
      </c>
      <c r="L32" s="275">
        <f t="shared" si="30"/>
        <v>4317.6777525000007</v>
      </c>
      <c r="M32" s="275">
        <f t="shared" si="30"/>
        <v>4459.0235025000002</v>
      </c>
      <c r="N32" s="275">
        <f t="shared" si="30"/>
        <v>4600.3692525000006</v>
      </c>
      <c r="O32" s="275">
        <f t="shared" si="30"/>
        <v>4741.7150025000001</v>
      </c>
      <c r="P32" s="275">
        <f t="shared" si="30"/>
        <v>4883.0607525000005</v>
      </c>
      <c r="Q32" s="6"/>
      <c r="R32" s="6"/>
      <c r="S32" s="6"/>
      <c r="T32" s="391"/>
      <c r="U32" s="393"/>
      <c r="V32" s="391"/>
      <c r="W32" s="381"/>
      <c r="X32" s="393"/>
      <c r="Y32" s="393"/>
      <c r="Z32" s="393"/>
      <c r="AA32" s="6"/>
      <c r="AB32" s="6"/>
      <c r="AC32" s="6"/>
      <c r="AD32" s="6"/>
      <c r="AE32" s="6"/>
      <c r="AF32" s="6"/>
      <c r="AG32" s="6"/>
      <c r="AH32" s="6"/>
      <c r="AI32" s="6"/>
      <c r="AJ32" s="6"/>
      <c r="AK32" s="6"/>
      <c r="AL32" s="6"/>
      <c r="AM32" s="6"/>
      <c r="AN32" s="6"/>
      <c r="AO32" s="6"/>
      <c r="AP32" s="6"/>
    </row>
    <row r="33" spans="1:42" ht="15.75" x14ac:dyDescent="0.3">
      <c r="A33" s="367" t="s">
        <v>15</v>
      </c>
      <c r="B33" s="275"/>
      <c r="C33" s="275"/>
      <c r="D33" s="275"/>
      <c r="E33" s="275"/>
      <c r="F33" s="275"/>
      <c r="G33" s="275">
        <f t="shared" si="27"/>
        <v>3460.9199999999996</v>
      </c>
      <c r="H33" s="276">
        <f t="shared" ref="H33:P33" si="31">H57*H7</f>
        <v>3549.6</v>
      </c>
      <c r="I33" s="276">
        <f t="shared" si="31"/>
        <v>3604.4952599999997</v>
      </c>
      <c r="J33" s="275">
        <f t="shared" si="31"/>
        <v>3809.8152599999999</v>
      </c>
      <c r="K33" s="275">
        <f t="shared" si="31"/>
        <v>3943.2732599999995</v>
      </c>
      <c r="L33" s="275">
        <f t="shared" si="31"/>
        <v>4076.7312599999996</v>
      </c>
      <c r="M33" s="275">
        <f t="shared" si="31"/>
        <v>4210.1892599999992</v>
      </c>
      <c r="N33" s="275">
        <f t="shared" si="31"/>
        <v>4343.6472599999997</v>
      </c>
      <c r="O33" s="275">
        <f t="shared" si="31"/>
        <v>4477.1052599999994</v>
      </c>
      <c r="P33" s="275">
        <f t="shared" si="31"/>
        <v>4610.563259999999</v>
      </c>
      <c r="Q33" s="6"/>
      <c r="R33" s="6"/>
      <c r="S33" s="6"/>
      <c r="T33" s="391"/>
      <c r="U33" s="381"/>
      <c r="V33" s="391"/>
      <c r="W33" s="381"/>
      <c r="X33" s="381"/>
      <c r="Y33" s="381"/>
      <c r="Z33" s="381"/>
      <c r="AA33" s="6"/>
      <c r="AB33" s="6"/>
      <c r="AC33" s="6"/>
      <c r="AD33" s="6"/>
      <c r="AE33" s="6"/>
      <c r="AF33" s="6"/>
      <c r="AG33" s="6"/>
      <c r="AH33" s="6"/>
      <c r="AI33" s="6"/>
      <c r="AJ33" s="6"/>
      <c r="AK33" s="6"/>
      <c r="AL33" s="6"/>
      <c r="AM33" s="6"/>
      <c r="AN33" s="6"/>
      <c r="AO33" s="6"/>
      <c r="AP33" s="6"/>
    </row>
    <row r="34" spans="1:42" ht="15.75" x14ac:dyDescent="0.3">
      <c r="A34" s="361" t="s">
        <v>16</v>
      </c>
      <c r="B34" s="275"/>
      <c r="C34" s="275"/>
      <c r="D34" s="275"/>
      <c r="E34" s="275"/>
      <c r="F34" s="275"/>
      <c r="G34" s="275">
        <f t="shared" si="27"/>
        <v>2875.3139999999999</v>
      </c>
      <c r="H34" s="276">
        <f t="shared" ref="H34:P34" si="32">H58*H8</f>
        <v>2712.96</v>
      </c>
      <c r="I34" s="276">
        <f t="shared" si="32"/>
        <v>3052.1114525000003</v>
      </c>
      <c r="J34" s="275">
        <f t="shared" si="32"/>
        <v>3225.9664525000003</v>
      </c>
      <c r="K34" s="275">
        <f t="shared" si="32"/>
        <v>3338.9722025000005</v>
      </c>
      <c r="L34" s="275">
        <f t="shared" si="32"/>
        <v>3451.9779525000004</v>
      </c>
      <c r="M34" s="275">
        <f t="shared" si="32"/>
        <v>3564.9837025000002</v>
      </c>
      <c r="N34" s="275">
        <f t="shared" si="32"/>
        <v>3677.9894525000004</v>
      </c>
      <c r="O34" s="275">
        <f t="shared" si="32"/>
        <v>3790.9952025000002</v>
      </c>
      <c r="P34" s="275">
        <f t="shared" si="32"/>
        <v>3904.0009525000005</v>
      </c>
      <c r="Q34" s="6"/>
      <c r="R34" s="6"/>
      <c r="S34" s="6"/>
      <c r="T34" s="391"/>
      <c r="U34" s="391"/>
      <c r="V34" s="391"/>
      <c r="W34" s="381"/>
      <c r="X34" s="391"/>
      <c r="Y34" s="391"/>
      <c r="Z34" s="391"/>
      <c r="AA34" s="6"/>
      <c r="AB34" s="6"/>
      <c r="AC34" s="6"/>
      <c r="AD34" s="6"/>
      <c r="AE34" s="6"/>
      <c r="AF34" s="6"/>
      <c r="AG34" s="6"/>
      <c r="AH34" s="6"/>
      <c r="AI34" s="6"/>
      <c r="AJ34" s="6"/>
      <c r="AK34" s="6"/>
      <c r="AL34" s="6"/>
      <c r="AM34" s="6"/>
      <c r="AN34" s="6"/>
      <c r="AO34" s="6"/>
      <c r="AP34" s="6"/>
    </row>
    <row r="35" spans="1:42" ht="15.75" x14ac:dyDescent="0.3">
      <c r="A35" s="361" t="s">
        <v>17</v>
      </c>
      <c r="B35" s="275"/>
      <c r="C35" s="275"/>
      <c r="D35" s="275"/>
      <c r="E35" s="275"/>
      <c r="F35" s="275"/>
      <c r="G35" s="275">
        <f t="shared" si="27"/>
        <v>2735.502</v>
      </c>
      <c r="H35" s="276">
        <f t="shared" ref="H35:P35" si="33">H59*H9</f>
        <v>2604.96</v>
      </c>
      <c r="I35" s="276">
        <f t="shared" si="33"/>
        <v>3004.2727150000001</v>
      </c>
      <c r="J35" s="275">
        <f t="shared" si="33"/>
        <v>3175.4027150000002</v>
      </c>
      <c r="K35" s="275">
        <f t="shared" si="33"/>
        <v>3286.6372150000002</v>
      </c>
      <c r="L35" s="275">
        <f t="shared" si="33"/>
        <v>3397.8717150000007</v>
      </c>
      <c r="M35" s="275">
        <f t="shared" si="33"/>
        <v>3509.1062150000002</v>
      </c>
      <c r="N35" s="275">
        <f t="shared" si="33"/>
        <v>3620.3407150000003</v>
      </c>
      <c r="O35" s="275">
        <f t="shared" si="33"/>
        <v>3731.5752150000003</v>
      </c>
      <c r="P35" s="275">
        <f t="shared" si="33"/>
        <v>3842.8097150000003</v>
      </c>
      <c r="Q35" s="6"/>
      <c r="R35" s="6"/>
      <c r="S35" s="6"/>
      <c r="T35" s="391"/>
      <c r="U35" s="391"/>
      <c r="V35" s="391"/>
      <c r="W35" s="391"/>
      <c r="X35" s="391"/>
      <c r="Y35" s="391"/>
      <c r="Z35" s="391"/>
      <c r="AA35" s="6"/>
      <c r="AB35" s="6"/>
      <c r="AC35" s="6"/>
      <c r="AD35" s="6"/>
      <c r="AE35" s="6"/>
      <c r="AF35" s="6"/>
      <c r="AG35" s="6"/>
      <c r="AH35" s="6"/>
      <c r="AI35" s="6"/>
      <c r="AJ35" s="6"/>
      <c r="AK35" s="6"/>
      <c r="AL35" s="6"/>
      <c r="AM35" s="6"/>
      <c r="AN35" s="6"/>
      <c r="AO35" s="6"/>
      <c r="AP35" s="6"/>
    </row>
    <row r="36" spans="1:42" ht="15.75" x14ac:dyDescent="0.3">
      <c r="A36" s="367" t="s">
        <v>18</v>
      </c>
      <c r="B36" s="275"/>
      <c r="C36" s="275"/>
      <c r="D36" s="275"/>
      <c r="E36" s="275"/>
      <c r="F36" s="275"/>
      <c r="G36" s="275">
        <f t="shared" si="27"/>
        <v>1570.02</v>
      </c>
      <c r="H36" s="276">
        <f t="shared" ref="H36:P36" si="34">H60*H10</f>
        <v>1604.28</v>
      </c>
      <c r="I36" s="276">
        <f t="shared" si="34"/>
        <v>1629.1504</v>
      </c>
      <c r="J36" s="275">
        <f t="shared" si="34"/>
        <v>1721.9503999999999</v>
      </c>
      <c r="K36" s="275">
        <f t="shared" si="34"/>
        <v>1782.2703999999999</v>
      </c>
      <c r="L36" s="275">
        <f t="shared" si="34"/>
        <v>1842.5904</v>
      </c>
      <c r="M36" s="275">
        <f t="shared" si="34"/>
        <v>1902.9104</v>
      </c>
      <c r="N36" s="275">
        <f t="shared" si="34"/>
        <v>1963.2303999999999</v>
      </c>
      <c r="O36" s="275">
        <f t="shared" si="34"/>
        <v>2023.5503999999999</v>
      </c>
      <c r="P36" s="275">
        <f t="shared" si="34"/>
        <v>2083.8703999999998</v>
      </c>
      <c r="Q36" s="6"/>
      <c r="R36" s="6"/>
      <c r="S36" s="6"/>
      <c r="T36" s="6"/>
      <c r="U36" s="6"/>
      <c r="V36" s="6"/>
      <c r="W36" s="6"/>
      <c r="X36" s="6"/>
      <c r="Y36" s="6"/>
      <c r="Z36" s="6"/>
      <c r="AA36" s="6"/>
      <c r="AB36" s="6"/>
      <c r="AC36" s="6"/>
      <c r="AD36" s="6"/>
      <c r="AE36" s="6"/>
      <c r="AF36" s="6"/>
      <c r="AG36" s="6"/>
      <c r="AH36" s="6"/>
      <c r="AI36" s="6"/>
      <c r="AJ36" s="6"/>
      <c r="AK36" s="6"/>
      <c r="AL36" s="6"/>
      <c r="AM36" s="6"/>
      <c r="AN36" s="6"/>
      <c r="AO36" s="6"/>
      <c r="AP36" s="6"/>
    </row>
    <row r="37" spans="1:42" ht="15.75" x14ac:dyDescent="0.3">
      <c r="A37" s="368" t="s">
        <v>19</v>
      </c>
      <c r="B37" s="275"/>
      <c r="C37" s="275"/>
      <c r="D37" s="275"/>
      <c r="E37" s="275"/>
      <c r="F37" s="275"/>
      <c r="G37" s="275">
        <f t="shared" si="27"/>
        <v>0</v>
      </c>
      <c r="H37" s="276">
        <f t="shared" ref="H37:P37" si="35">H61*H11</f>
        <v>0</v>
      </c>
      <c r="I37" s="275">
        <f t="shared" si="35"/>
        <v>1460.9687099999999</v>
      </c>
      <c r="J37" s="275">
        <f t="shared" si="35"/>
        <v>1544.1887099999997</v>
      </c>
      <c r="K37" s="275">
        <f t="shared" si="35"/>
        <v>1598.2817099999997</v>
      </c>
      <c r="L37" s="275">
        <f t="shared" si="35"/>
        <v>1652.3747099999998</v>
      </c>
      <c r="M37" s="275">
        <f t="shared" si="35"/>
        <v>1706.4677099999999</v>
      </c>
      <c r="N37" s="275">
        <f t="shared" si="35"/>
        <v>1760.5607099999997</v>
      </c>
      <c r="O37" s="275">
        <f t="shared" si="35"/>
        <v>1814.6537099999996</v>
      </c>
      <c r="P37" s="275">
        <f t="shared" si="35"/>
        <v>1868.7467099999997</v>
      </c>
      <c r="Q37" s="6"/>
      <c r="R37" s="6"/>
      <c r="S37" s="6"/>
      <c r="T37" s="6"/>
      <c r="U37" s="6"/>
      <c r="W37" s="6"/>
      <c r="X37" s="6"/>
      <c r="Y37" s="6"/>
      <c r="Z37" s="6"/>
      <c r="AA37" s="6"/>
      <c r="AB37" s="6"/>
      <c r="AC37" s="6"/>
      <c r="AD37" s="6"/>
      <c r="AE37" s="6"/>
      <c r="AF37" s="6"/>
      <c r="AG37" s="6"/>
      <c r="AH37" s="6"/>
      <c r="AI37" s="6"/>
      <c r="AJ37" s="6"/>
      <c r="AK37" s="6"/>
      <c r="AL37" s="6"/>
      <c r="AM37" s="6"/>
      <c r="AN37" s="6"/>
      <c r="AO37" s="6"/>
      <c r="AP37" s="6"/>
    </row>
    <row r="38" spans="1:42" ht="15.75" x14ac:dyDescent="0.3">
      <c r="A38" s="367" t="s">
        <v>20</v>
      </c>
      <c r="B38" s="275"/>
      <c r="C38" s="275"/>
      <c r="D38" s="275"/>
      <c r="E38" s="275"/>
      <c r="F38" s="275"/>
      <c r="G38" s="275">
        <f t="shared" si="27"/>
        <v>1300.7099999999998</v>
      </c>
      <c r="H38" s="276">
        <f t="shared" ref="H38:P38" si="36">H62*H12</f>
        <v>1375.76</v>
      </c>
      <c r="I38" s="275">
        <f t="shared" si="36"/>
        <v>1437.7954500000001</v>
      </c>
      <c r="J38" s="275">
        <f t="shared" si="36"/>
        <v>1519.6954500000002</v>
      </c>
      <c r="K38" s="275">
        <f t="shared" si="36"/>
        <v>1572.9304500000001</v>
      </c>
      <c r="L38" s="275">
        <f t="shared" si="36"/>
        <v>1626.1654500000002</v>
      </c>
      <c r="M38" s="275">
        <f t="shared" si="36"/>
        <v>1679.4004500000001</v>
      </c>
      <c r="N38" s="275">
        <f t="shared" si="36"/>
        <v>1732.6354500000002</v>
      </c>
      <c r="O38" s="275">
        <f t="shared" si="36"/>
        <v>1785.8704500000001</v>
      </c>
      <c r="P38" s="275">
        <f t="shared" si="36"/>
        <v>1839.1054500000002</v>
      </c>
      <c r="Q38" s="6"/>
      <c r="R38" s="6"/>
      <c r="S38" s="6"/>
      <c r="T38" s="6"/>
      <c r="U38" s="6"/>
      <c r="W38" s="7"/>
      <c r="X38" s="7"/>
      <c r="Y38" s="7"/>
      <c r="Z38" s="7"/>
      <c r="AA38" s="6"/>
      <c r="AB38" s="6"/>
      <c r="AC38" s="6"/>
      <c r="AD38" s="6"/>
      <c r="AE38" s="6"/>
      <c r="AF38" s="6"/>
      <c r="AG38" s="6"/>
      <c r="AH38" s="6"/>
      <c r="AI38" s="6"/>
      <c r="AJ38" s="6"/>
      <c r="AK38" s="6"/>
      <c r="AL38" s="6"/>
      <c r="AM38" s="6"/>
      <c r="AN38" s="6"/>
      <c r="AO38" s="6"/>
      <c r="AP38" s="6"/>
    </row>
    <row r="39" spans="1:42" ht="15.75" x14ac:dyDescent="0.3">
      <c r="A39" s="367" t="s">
        <v>21</v>
      </c>
      <c r="B39" s="275"/>
      <c r="C39" s="275"/>
      <c r="D39" s="275"/>
      <c r="E39" s="275"/>
      <c r="F39" s="275"/>
      <c r="G39" s="275">
        <f t="shared" si="27"/>
        <v>875.54399999999998</v>
      </c>
      <c r="H39" s="276">
        <f t="shared" ref="H39:P39" si="37">H63*H13</f>
        <v>897.83999999999992</v>
      </c>
      <c r="I39" s="275">
        <f t="shared" si="37"/>
        <v>985.91687999999988</v>
      </c>
      <c r="J39" s="275">
        <f t="shared" si="37"/>
        <v>1042.0768799999998</v>
      </c>
      <c r="K39" s="275">
        <f t="shared" si="37"/>
        <v>1078.58088</v>
      </c>
      <c r="L39" s="275">
        <f t="shared" si="37"/>
        <v>1115.0848799999999</v>
      </c>
      <c r="M39" s="275">
        <f t="shared" si="37"/>
        <v>1151.58888</v>
      </c>
      <c r="N39" s="275">
        <f t="shared" si="37"/>
        <v>1188.0928799999999</v>
      </c>
      <c r="O39" s="275">
        <f t="shared" si="37"/>
        <v>1224.5968799999998</v>
      </c>
      <c r="P39" s="275">
        <f t="shared" si="37"/>
        <v>1261.10088</v>
      </c>
      <c r="Q39" s="6"/>
      <c r="R39" s="6"/>
      <c r="S39" s="6"/>
      <c r="T39" s="6"/>
      <c r="U39" s="6"/>
      <c r="V39" s="6"/>
      <c r="W39" s="6"/>
      <c r="X39" s="6"/>
      <c r="Y39" s="6"/>
      <c r="Z39" s="6"/>
      <c r="AA39" s="6"/>
      <c r="AB39" s="6"/>
      <c r="AC39" s="6"/>
      <c r="AD39" s="6"/>
      <c r="AE39" s="6"/>
      <c r="AF39" s="6"/>
      <c r="AG39" s="6"/>
      <c r="AH39" s="6"/>
      <c r="AI39" s="6"/>
      <c r="AJ39" s="6"/>
      <c r="AK39" s="6"/>
      <c r="AL39" s="6"/>
      <c r="AM39" s="6"/>
      <c r="AN39" s="6"/>
      <c r="AO39" s="6"/>
      <c r="AP39" s="6"/>
    </row>
    <row r="40" spans="1:42" ht="15.75" x14ac:dyDescent="0.3">
      <c r="A40" s="366" t="s">
        <v>22</v>
      </c>
      <c r="B40" s="275"/>
      <c r="C40" s="275"/>
      <c r="D40" s="275"/>
      <c r="E40" s="275"/>
      <c r="F40" s="275"/>
      <c r="G40" s="275">
        <f t="shared" si="27"/>
        <v>849.18599999999992</v>
      </c>
      <c r="H40" s="276">
        <f t="shared" ref="H40:P40" si="38">H64*H14</f>
        <v>890.4</v>
      </c>
      <c r="I40" s="275">
        <f t="shared" si="38"/>
        <v>896.94560600000011</v>
      </c>
      <c r="J40" s="275">
        <f t="shared" si="38"/>
        <v>948.0376060000001</v>
      </c>
      <c r="K40" s="275">
        <f t="shared" si="38"/>
        <v>981.24740600000007</v>
      </c>
      <c r="L40" s="275">
        <f t="shared" si="38"/>
        <v>1014.457206</v>
      </c>
      <c r="M40" s="275">
        <f t="shared" si="38"/>
        <v>1047.6670060000001</v>
      </c>
      <c r="N40" s="275">
        <f t="shared" si="38"/>
        <v>1080.876806</v>
      </c>
      <c r="O40" s="275">
        <f t="shared" si="38"/>
        <v>1114.0866060000001</v>
      </c>
      <c r="P40" s="275">
        <f t="shared" si="38"/>
        <v>1147.2964060000002</v>
      </c>
      <c r="Q40" s="6"/>
      <c r="R40" s="6"/>
      <c r="S40" s="6"/>
      <c r="T40" s="6"/>
      <c r="U40" s="6"/>
      <c r="V40" s="6"/>
      <c r="W40" s="6"/>
      <c r="X40" s="6"/>
      <c r="Y40" s="6"/>
      <c r="Z40" s="6"/>
      <c r="AA40" s="6"/>
      <c r="AB40" s="6"/>
      <c r="AC40" s="6"/>
      <c r="AD40" s="6"/>
      <c r="AE40" s="6"/>
      <c r="AF40" s="6"/>
      <c r="AG40" s="6"/>
      <c r="AH40" s="6"/>
      <c r="AI40" s="6"/>
      <c r="AJ40" s="6"/>
      <c r="AK40" s="6"/>
      <c r="AL40" s="6"/>
      <c r="AM40" s="6"/>
      <c r="AN40" s="6"/>
      <c r="AO40" s="6"/>
      <c r="AP40" s="6"/>
    </row>
    <row r="41" spans="1:42" ht="15.75" x14ac:dyDescent="0.3">
      <c r="A41" s="367" t="s">
        <v>23</v>
      </c>
      <c r="B41" s="275"/>
      <c r="C41" s="275"/>
      <c r="D41" s="275"/>
      <c r="E41" s="275"/>
      <c r="F41" s="275"/>
      <c r="G41" s="275">
        <f t="shared" si="27"/>
        <v>642.90599999999995</v>
      </c>
      <c r="H41" s="276">
        <f t="shared" ref="H41:P41" si="39">H65*H15</f>
        <v>664.68</v>
      </c>
      <c r="I41" s="275">
        <f t="shared" si="39"/>
        <v>692.38891999999998</v>
      </c>
      <c r="J41" s="275">
        <f t="shared" si="39"/>
        <v>731.82892000000004</v>
      </c>
      <c r="K41" s="275">
        <f t="shared" si="39"/>
        <v>757.46492000000001</v>
      </c>
      <c r="L41" s="275">
        <f t="shared" si="39"/>
        <v>783.10092000000009</v>
      </c>
      <c r="M41" s="275">
        <f t="shared" si="39"/>
        <v>808.73691999999994</v>
      </c>
      <c r="N41" s="275">
        <f t="shared" si="39"/>
        <v>834.37292000000002</v>
      </c>
      <c r="O41" s="275">
        <f t="shared" si="39"/>
        <v>860.00891999999999</v>
      </c>
      <c r="P41" s="275">
        <f t="shared" si="39"/>
        <v>885.64492000000007</v>
      </c>
      <c r="Q41" s="6"/>
      <c r="R41" s="6"/>
      <c r="S41" s="6"/>
      <c r="T41" s="6"/>
      <c r="U41" s="6"/>
      <c r="V41" s="6"/>
      <c r="W41" s="6"/>
      <c r="X41" s="6"/>
      <c r="Y41" s="6"/>
      <c r="Z41" s="6"/>
      <c r="AA41" s="6"/>
      <c r="AB41" s="6"/>
      <c r="AC41" s="6"/>
      <c r="AD41" s="6"/>
      <c r="AE41" s="6"/>
      <c r="AF41" s="6"/>
      <c r="AG41" s="6"/>
      <c r="AH41" s="6"/>
      <c r="AI41" s="6"/>
      <c r="AJ41" s="6"/>
      <c r="AK41" s="6"/>
      <c r="AL41" s="6"/>
      <c r="AM41" s="6"/>
      <c r="AN41" s="6"/>
      <c r="AO41" s="6"/>
      <c r="AP41" s="6"/>
    </row>
    <row r="42" spans="1:42" ht="15.75" x14ac:dyDescent="0.3">
      <c r="A42" s="366" t="s">
        <v>24</v>
      </c>
      <c r="B42" s="275"/>
      <c r="C42" s="275"/>
      <c r="D42" s="275"/>
      <c r="E42" s="275"/>
      <c r="F42" s="275"/>
      <c r="G42" s="275">
        <f t="shared" si="27"/>
        <v>632.59199999999998</v>
      </c>
      <c r="H42" s="276">
        <f t="shared" ref="H42:P42" si="40">H66*H16</f>
        <v>661.19999999999993</v>
      </c>
      <c r="I42" s="275">
        <f t="shared" si="40"/>
        <v>666.36289125000008</v>
      </c>
      <c r="J42" s="275">
        <f t="shared" si="40"/>
        <v>704.32039125000006</v>
      </c>
      <c r="K42" s="275">
        <f t="shared" si="40"/>
        <v>728.99276625000005</v>
      </c>
      <c r="L42" s="275">
        <f t="shared" si="40"/>
        <v>753.66514125000003</v>
      </c>
      <c r="M42" s="275">
        <f t="shared" si="40"/>
        <v>778.33751625000014</v>
      </c>
      <c r="N42" s="275">
        <f t="shared" si="40"/>
        <v>803.00989125000001</v>
      </c>
      <c r="O42" s="275">
        <f t="shared" si="40"/>
        <v>827.68226625</v>
      </c>
      <c r="P42" s="275">
        <f t="shared" si="40"/>
        <v>852.3546412500001</v>
      </c>
      <c r="Q42" s="6"/>
      <c r="R42" s="6"/>
      <c r="S42" s="6"/>
      <c r="T42" s="6"/>
      <c r="U42" s="6"/>
      <c r="V42" s="6"/>
      <c r="W42" s="6"/>
      <c r="X42" s="6"/>
      <c r="Y42" s="6"/>
      <c r="Z42" s="6"/>
      <c r="AA42" s="6"/>
      <c r="AB42" s="6"/>
      <c r="AC42" s="6"/>
      <c r="AD42" s="6"/>
      <c r="AE42" s="6"/>
      <c r="AF42" s="6"/>
      <c r="AG42" s="6"/>
      <c r="AH42" s="6"/>
      <c r="AI42" s="6"/>
      <c r="AJ42" s="6"/>
      <c r="AK42" s="6"/>
      <c r="AL42" s="6"/>
      <c r="AM42" s="6"/>
      <c r="AN42" s="6"/>
      <c r="AO42" s="6"/>
      <c r="AP42" s="6"/>
    </row>
    <row r="43" spans="1:42" ht="15.75" x14ac:dyDescent="0.3">
      <c r="A43" s="367" t="s">
        <v>25</v>
      </c>
      <c r="B43" s="275"/>
      <c r="C43" s="275"/>
      <c r="D43" s="275"/>
      <c r="E43" s="275"/>
      <c r="F43" s="275"/>
      <c r="G43" s="275">
        <f t="shared" si="27"/>
        <v>624.56999999999994</v>
      </c>
      <c r="H43" s="275">
        <f t="shared" ref="H43:P43" si="41">H67*H17</f>
        <v>631.04</v>
      </c>
      <c r="I43" s="275">
        <f t="shared" si="41"/>
        <v>698.35779000000002</v>
      </c>
      <c r="J43" s="275">
        <f t="shared" si="41"/>
        <v>738.13779</v>
      </c>
      <c r="K43" s="275">
        <f t="shared" si="41"/>
        <v>763.99479000000008</v>
      </c>
      <c r="L43" s="275">
        <f t="shared" si="41"/>
        <v>789.85179000000005</v>
      </c>
      <c r="M43" s="275">
        <f t="shared" si="41"/>
        <v>815.70878999999991</v>
      </c>
      <c r="N43" s="275">
        <f t="shared" si="41"/>
        <v>841.56578999999999</v>
      </c>
      <c r="O43" s="275">
        <f t="shared" si="41"/>
        <v>867.42278999999996</v>
      </c>
      <c r="P43" s="275">
        <f t="shared" si="41"/>
        <v>893.27979000000005</v>
      </c>
      <c r="Q43" s="6"/>
      <c r="R43" s="6"/>
      <c r="S43" s="6"/>
      <c r="T43" s="6"/>
      <c r="U43" s="6"/>
      <c r="V43" s="6"/>
      <c r="W43" s="6"/>
      <c r="X43" s="6"/>
      <c r="Y43" s="6"/>
      <c r="Z43" s="6"/>
      <c r="AA43" s="6"/>
      <c r="AB43" s="6"/>
      <c r="AC43" s="6"/>
      <c r="AD43" s="6"/>
      <c r="AE43" s="6"/>
      <c r="AF43" s="6"/>
      <c r="AG43" s="6"/>
      <c r="AH43" s="6"/>
      <c r="AI43" s="6"/>
      <c r="AJ43" s="6"/>
      <c r="AK43" s="6"/>
      <c r="AL43" s="6"/>
      <c r="AM43" s="6"/>
      <c r="AN43" s="6"/>
      <c r="AO43" s="6"/>
      <c r="AP43" s="6"/>
    </row>
    <row r="44" spans="1:42" ht="15.75" x14ac:dyDescent="0.3">
      <c r="A44" s="368" t="s">
        <v>98</v>
      </c>
      <c r="B44" s="376"/>
      <c r="C44" s="376"/>
      <c r="D44" s="376"/>
      <c r="E44" s="376"/>
      <c r="F44" s="376"/>
      <c r="G44" s="376">
        <f t="shared" si="27"/>
        <v>201.69599999999997</v>
      </c>
      <c r="H44" s="376">
        <f t="shared" ref="H44:P46" si="42">H68*H18</f>
        <v>113.67999999999999</v>
      </c>
      <c r="I44" s="376">
        <f t="shared" si="42"/>
        <v>110.23469399999395</v>
      </c>
      <c r="J44" s="376">
        <f t="shared" si="42"/>
        <v>426.68528936359871</v>
      </c>
      <c r="K44" s="376">
        <f t="shared" si="42"/>
        <v>478.46208472720343</v>
      </c>
      <c r="L44" s="376">
        <f t="shared" si="42"/>
        <v>525.79288009080835</v>
      </c>
      <c r="M44" s="376">
        <f t="shared" si="42"/>
        <v>568.67767545441632</v>
      </c>
      <c r="N44" s="376">
        <f t="shared" si="42"/>
        <v>607.11647081802312</v>
      </c>
      <c r="O44" s="376">
        <f t="shared" si="42"/>
        <v>641.10926618162989</v>
      </c>
      <c r="P44" s="376">
        <f t="shared" si="42"/>
        <v>670.65606154523527</v>
      </c>
      <c r="Q44" s="6"/>
      <c r="R44" s="6"/>
      <c r="S44" s="6"/>
      <c r="T44" s="6"/>
      <c r="U44" s="6"/>
      <c r="V44" s="6"/>
      <c r="W44" s="6"/>
      <c r="X44" s="6"/>
      <c r="Y44" s="6"/>
      <c r="Z44" s="6"/>
      <c r="AA44" s="6"/>
      <c r="AB44" s="6"/>
      <c r="AC44" s="6"/>
      <c r="AD44" s="6"/>
      <c r="AE44" s="6"/>
      <c r="AF44" s="6"/>
      <c r="AG44" s="6"/>
      <c r="AH44" s="6"/>
      <c r="AI44" s="6"/>
      <c r="AJ44" s="6"/>
      <c r="AK44" s="6"/>
      <c r="AL44" s="6"/>
      <c r="AM44" s="6"/>
      <c r="AN44" s="6"/>
      <c r="AO44" s="6"/>
      <c r="AP44" s="6"/>
    </row>
    <row r="45" spans="1:42" ht="15.75" x14ac:dyDescent="0.3">
      <c r="A45" s="248" t="s">
        <v>26</v>
      </c>
      <c r="B45" s="376"/>
      <c r="C45" s="376"/>
      <c r="D45" s="376"/>
      <c r="E45" s="376"/>
      <c r="F45" s="376"/>
      <c r="G45" s="376"/>
      <c r="H45" s="376"/>
      <c r="I45" s="376"/>
      <c r="J45" s="376"/>
      <c r="K45" s="376"/>
      <c r="L45" s="376"/>
      <c r="M45" s="376"/>
      <c r="N45" s="376"/>
      <c r="O45" s="376"/>
      <c r="P45" s="376"/>
      <c r="Q45" s="6"/>
      <c r="R45" s="6"/>
      <c r="S45" s="6"/>
      <c r="T45" s="6"/>
      <c r="U45" s="6"/>
      <c r="V45" s="6"/>
      <c r="W45" s="6"/>
      <c r="X45" s="6"/>
      <c r="Y45" s="6"/>
      <c r="Z45" s="6"/>
      <c r="AA45" s="6"/>
      <c r="AB45" s="6"/>
      <c r="AC45" s="6"/>
      <c r="AD45" s="6"/>
      <c r="AE45" s="6"/>
      <c r="AF45" s="6"/>
      <c r="AG45" s="6"/>
      <c r="AH45" s="6"/>
      <c r="AI45" s="6"/>
      <c r="AJ45" s="6"/>
      <c r="AK45" s="6"/>
      <c r="AL45" s="6"/>
      <c r="AM45" s="6"/>
      <c r="AN45" s="6"/>
      <c r="AO45" s="6"/>
      <c r="AP45" s="6"/>
    </row>
    <row r="46" spans="1:42" ht="15.75" x14ac:dyDescent="0.3">
      <c r="A46" s="364" t="s">
        <v>27</v>
      </c>
      <c r="B46" s="376"/>
      <c r="C46" s="376"/>
      <c r="D46" s="376"/>
      <c r="E46" s="376"/>
      <c r="F46" s="376"/>
      <c r="G46" s="376"/>
      <c r="H46" s="376"/>
      <c r="I46" s="376">
        <f t="shared" si="42"/>
        <v>112.89942050000001</v>
      </c>
      <c r="J46" s="376">
        <f t="shared" si="42"/>
        <v>180.00690549999999</v>
      </c>
      <c r="K46" s="376">
        <f t="shared" si="42"/>
        <v>249.11454050000003</v>
      </c>
      <c r="L46" s="376">
        <f t="shared" si="42"/>
        <v>322.47317550000002</v>
      </c>
      <c r="M46" s="376">
        <f t="shared" si="42"/>
        <v>400.08281050000005</v>
      </c>
      <c r="N46" s="376">
        <f t="shared" si="42"/>
        <v>481.94344550000005</v>
      </c>
      <c r="O46" s="376">
        <f t="shared" si="42"/>
        <v>568.05508050000003</v>
      </c>
      <c r="P46" s="376">
        <f t="shared" si="42"/>
        <v>658.41771549999999</v>
      </c>
      <c r="Q46" s="6"/>
      <c r="R46" s="6"/>
      <c r="S46" s="6"/>
      <c r="T46" s="6"/>
      <c r="U46" s="6"/>
      <c r="V46" s="6"/>
      <c r="W46" s="6"/>
      <c r="X46" s="6"/>
      <c r="Y46" s="6"/>
      <c r="Z46" s="6"/>
      <c r="AA46" s="6"/>
      <c r="AB46" s="6"/>
      <c r="AC46" s="6"/>
      <c r="AD46" s="6"/>
      <c r="AE46" s="6"/>
      <c r="AF46" s="6"/>
      <c r="AG46" s="6"/>
      <c r="AH46" s="6"/>
      <c r="AI46" s="6"/>
      <c r="AJ46" s="6"/>
      <c r="AK46" s="6"/>
      <c r="AL46" s="6"/>
      <c r="AM46" s="6"/>
      <c r="AN46" s="6"/>
      <c r="AO46" s="6"/>
      <c r="AP46" s="6"/>
    </row>
    <row r="47" spans="1:42" ht="15.75" x14ac:dyDescent="0.3">
      <c r="A47" s="379" t="s">
        <v>8</v>
      </c>
      <c r="B47" s="380"/>
      <c r="C47" s="380"/>
      <c r="D47" s="380"/>
      <c r="E47" s="380"/>
      <c r="F47" s="380"/>
      <c r="G47" s="380">
        <f t="shared" ref="G47:P47" si="43">G71*(G21)</f>
        <v>34617.1</v>
      </c>
      <c r="H47" s="380">
        <f t="shared" si="43"/>
        <v>36235.22</v>
      </c>
      <c r="I47" s="380">
        <f t="shared" si="43"/>
        <v>41992.756000000001</v>
      </c>
      <c r="J47" s="380">
        <f t="shared" si="43"/>
        <v>45126.976000000002</v>
      </c>
      <c r="K47" s="380">
        <f t="shared" si="43"/>
        <v>47475.995999999999</v>
      </c>
      <c r="L47" s="380">
        <f t="shared" si="43"/>
        <v>50274.126000000004</v>
      </c>
      <c r="M47" s="380">
        <f t="shared" si="43"/>
        <v>52740.146000000001</v>
      </c>
      <c r="N47" s="380">
        <f t="shared" si="43"/>
        <v>55258.166000000005</v>
      </c>
      <c r="O47" s="380">
        <f t="shared" si="43"/>
        <v>57828.186000000002</v>
      </c>
      <c r="P47" s="380">
        <f t="shared" si="43"/>
        <v>60450.206000000006</v>
      </c>
      <c r="Q47" s="6"/>
      <c r="R47" s="6"/>
      <c r="S47" s="6"/>
      <c r="T47" s="6"/>
      <c r="U47" s="6"/>
      <c r="V47" s="6"/>
      <c r="W47" s="6"/>
      <c r="X47" s="6"/>
      <c r="Y47" s="6"/>
      <c r="Z47" s="6"/>
      <c r="AA47" s="6"/>
      <c r="AB47" s="6"/>
      <c r="AC47" s="6"/>
      <c r="AD47" s="6"/>
      <c r="AE47" s="6"/>
      <c r="AF47" s="6"/>
      <c r="AG47" s="6"/>
      <c r="AH47" s="6"/>
      <c r="AI47" s="6"/>
      <c r="AJ47" s="6"/>
      <c r="AK47" s="6"/>
      <c r="AL47" s="6"/>
      <c r="AM47" s="6"/>
      <c r="AN47" s="6"/>
      <c r="AO47" s="6"/>
      <c r="AP47" s="6"/>
    </row>
    <row r="48" spans="1:42" ht="15.75" x14ac:dyDescent="0.3">
      <c r="A48" s="248" t="s">
        <v>429</v>
      </c>
      <c r="B48" s="275"/>
      <c r="C48" s="275"/>
      <c r="D48" s="275"/>
      <c r="E48" s="275"/>
      <c r="F48" s="275"/>
      <c r="G48" s="275"/>
      <c r="H48" s="275">
        <f>H47-G47-H37</f>
        <v>1618.1200000000026</v>
      </c>
      <c r="I48" s="275">
        <f>I47-H47-(I32-H32)</f>
        <v>2480.0047474999997</v>
      </c>
      <c r="J48" s="275">
        <f>J47-I47</f>
        <v>3134.2200000000012</v>
      </c>
      <c r="K48" s="275">
        <f t="shared" ref="K48:P48" si="44">K47-J47</f>
        <v>2349.0199999999968</v>
      </c>
      <c r="L48" s="275">
        <f t="shared" si="44"/>
        <v>2798.1300000000047</v>
      </c>
      <c r="M48" s="275">
        <f t="shared" si="44"/>
        <v>2466.0199999999968</v>
      </c>
      <c r="N48" s="275">
        <f t="shared" si="44"/>
        <v>2518.0200000000041</v>
      </c>
      <c r="O48" s="275">
        <f t="shared" si="44"/>
        <v>2570.0199999999968</v>
      </c>
      <c r="P48" s="275">
        <f t="shared" si="44"/>
        <v>2622.0200000000041</v>
      </c>
      <c r="Q48" s="6"/>
      <c r="R48" s="6"/>
      <c r="S48" s="6"/>
      <c r="T48" s="6"/>
      <c r="U48" s="6"/>
      <c r="V48" s="6"/>
      <c r="W48" s="6"/>
      <c r="X48" s="6"/>
      <c r="Y48" s="6"/>
      <c r="Z48" s="6"/>
      <c r="AA48" s="6"/>
      <c r="AB48" s="6"/>
      <c r="AC48" s="6"/>
      <c r="AD48" s="6"/>
      <c r="AE48" s="6"/>
      <c r="AF48" s="6"/>
      <c r="AG48" s="6"/>
      <c r="AH48" s="6"/>
      <c r="AI48" s="6"/>
      <c r="AJ48" s="6"/>
      <c r="AK48" s="6"/>
      <c r="AL48" s="6"/>
      <c r="AM48" s="6"/>
      <c r="AN48" s="6"/>
      <c r="AO48" s="6"/>
      <c r="AP48" s="6"/>
    </row>
    <row r="49" spans="1:42" ht="15.75" x14ac:dyDescent="0.3">
      <c r="A49" s="248" t="s">
        <v>411</v>
      </c>
      <c r="B49" s="275"/>
      <c r="C49" s="275"/>
      <c r="D49" s="275"/>
      <c r="E49" s="275"/>
      <c r="F49" s="275"/>
      <c r="G49" s="275">
        <f>G47-G30-G43-G34</f>
        <v>16963.635999999999</v>
      </c>
      <c r="H49" s="275">
        <f t="shared" ref="H49:P49" si="45">H47-H30-H43-H34</f>
        <v>17825.599999999999</v>
      </c>
      <c r="I49" s="275">
        <f t="shared" si="45"/>
        <v>23483.386757499997</v>
      </c>
      <c r="J49" s="275">
        <f t="shared" si="45"/>
        <v>25872.623468926602</v>
      </c>
      <c r="K49" s="275">
        <f t="shared" si="45"/>
        <v>27545.053525184139</v>
      </c>
      <c r="L49" s="275">
        <f t="shared" si="45"/>
        <v>29660.214676272622</v>
      </c>
      <c r="M49" s="275">
        <f t="shared" si="45"/>
        <v>31436.886922192039</v>
      </c>
      <c r="N49" s="275">
        <f t="shared" si="45"/>
        <v>33259.180262942413</v>
      </c>
      <c r="O49" s="275">
        <f t="shared" si="45"/>
        <v>35127.094698523702</v>
      </c>
      <c r="P49" s="275">
        <f t="shared" si="45"/>
        <v>37040.630228935952</v>
      </c>
      <c r="Q49" s="6"/>
      <c r="R49" s="6"/>
      <c r="S49" s="6"/>
      <c r="T49" s="6"/>
      <c r="U49" s="6"/>
      <c r="V49" s="6"/>
      <c r="W49" s="6"/>
      <c r="X49" s="6"/>
      <c r="Y49" s="6"/>
      <c r="Z49" s="6"/>
      <c r="AA49" s="6"/>
      <c r="AB49" s="6"/>
      <c r="AC49" s="6"/>
      <c r="AD49" s="6"/>
      <c r="AE49" s="6"/>
      <c r="AF49" s="6"/>
      <c r="AG49" s="6"/>
      <c r="AH49" s="6"/>
      <c r="AI49" s="6"/>
      <c r="AJ49" s="6"/>
      <c r="AK49" s="6"/>
      <c r="AL49" s="6"/>
      <c r="AM49" s="6"/>
      <c r="AN49" s="6"/>
      <c r="AO49" s="6"/>
      <c r="AP49" s="6"/>
    </row>
    <row r="50" spans="1:42" ht="15.75" x14ac:dyDescent="0.3">
      <c r="A50" s="248"/>
      <c r="B50" s="275"/>
      <c r="C50" s="275"/>
      <c r="D50" s="275"/>
      <c r="E50" s="275"/>
      <c r="F50" s="275"/>
      <c r="G50" s="275"/>
      <c r="H50" s="275">
        <f>AVERAGE(G47:H47)</f>
        <v>35426.160000000003</v>
      </c>
      <c r="I50" s="275">
        <f>AVERAGE(H47:I47)</f>
        <v>39113.987999999998</v>
      </c>
      <c r="J50" s="275"/>
      <c r="K50" s="275"/>
      <c r="L50" s="275"/>
      <c r="M50" s="275"/>
      <c r="N50" s="275"/>
      <c r="O50" s="275"/>
      <c r="P50" s="275"/>
      <c r="Q50" s="6"/>
      <c r="R50" s="6"/>
      <c r="S50" s="6"/>
      <c r="T50" s="6"/>
      <c r="U50" s="6"/>
      <c r="V50" s="6"/>
      <c r="W50" s="6"/>
      <c r="X50" s="6"/>
      <c r="Y50" s="6"/>
      <c r="Z50" s="6"/>
      <c r="AA50" s="6"/>
      <c r="AB50" s="6"/>
      <c r="AC50" s="6"/>
      <c r="AD50" s="6"/>
      <c r="AE50" s="6"/>
      <c r="AF50" s="6"/>
      <c r="AG50" s="6"/>
      <c r="AH50" s="6"/>
      <c r="AI50" s="6"/>
      <c r="AJ50" s="6"/>
      <c r="AK50" s="6"/>
      <c r="AL50" s="6"/>
      <c r="AM50" s="6"/>
      <c r="AN50" s="6"/>
      <c r="AO50" s="6"/>
      <c r="AP50" s="6"/>
    </row>
    <row r="51" spans="1:42" ht="15.75" x14ac:dyDescent="0.3">
      <c r="A51" s="248"/>
      <c r="B51" s="275"/>
      <c r="C51" s="275"/>
      <c r="D51" s="275"/>
      <c r="E51" s="275"/>
      <c r="F51" s="275"/>
      <c r="G51" s="275"/>
      <c r="H51" s="275"/>
      <c r="I51" s="292">
        <f>I50/H50-1</f>
        <v>0.10409900480322998</v>
      </c>
      <c r="J51" s="292"/>
      <c r="K51" s="275"/>
      <c r="L51" s="275"/>
      <c r="M51" s="275"/>
      <c r="N51" s="275"/>
      <c r="O51" s="275"/>
      <c r="P51" s="275"/>
      <c r="Q51" s="6"/>
      <c r="R51" s="6"/>
      <c r="S51" s="6"/>
      <c r="T51" s="6"/>
      <c r="U51" s="6"/>
      <c r="V51" s="6"/>
      <c r="W51" s="6"/>
      <c r="X51" s="6"/>
      <c r="Y51" s="6"/>
      <c r="Z51" s="6"/>
      <c r="AA51" s="6"/>
      <c r="AB51" s="6"/>
      <c r="AC51" s="6"/>
      <c r="AD51" s="6"/>
      <c r="AE51" s="6"/>
      <c r="AF51" s="6"/>
      <c r="AG51" s="6"/>
      <c r="AH51" s="6"/>
      <c r="AI51" s="6"/>
      <c r="AJ51" s="6"/>
      <c r="AK51" s="6"/>
      <c r="AL51" s="6"/>
      <c r="AM51" s="6"/>
      <c r="AN51" s="6"/>
      <c r="AO51" s="6"/>
      <c r="AP51" s="6"/>
    </row>
    <row r="52" spans="1:42" ht="15.75" x14ac:dyDescent="0.3">
      <c r="A52" s="248"/>
      <c r="B52" s="275"/>
      <c r="C52" s="275"/>
      <c r="D52" s="275"/>
      <c r="E52" s="275"/>
      <c r="F52" s="275"/>
      <c r="G52" s="275"/>
      <c r="H52" s="275"/>
      <c r="I52" s="275"/>
      <c r="J52" s="275"/>
      <c r="K52" s="275"/>
      <c r="L52" s="275"/>
      <c r="M52" s="275"/>
      <c r="N52" s="275"/>
      <c r="O52" s="275"/>
      <c r="P52" s="275"/>
      <c r="Q52" s="6"/>
      <c r="R52" s="6"/>
      <c r="S52" s="6"/>
      <c r="T52" s="6"/>
      <c r="U52" s="6"/>
      <c r="V52" s="6"/>
      <c r="W52" s="6"/>
      <c r="X52" s="6"/>
      <c r="Y52" s="6"/>
      <c r="Z52" s="6"/>
      <c r="AA52" s="6"/>
      <c r="AB52" s="6"/>
      <c r="AC52" s="6"/>
      <c r="AD52" s="6"/>
      <c r="AE52" s="6"/>
      <c r="AF52" s="6"/>
      <c r="AG52" s="6"/>
      <c r="AH52" s="6"/>
      <c r="AI52" s="6"/>
      <c r="AJ52" s="6"/>
      <c r="AK52" s="6"/>
      <c r="AL52" s="6"/>
      <c r="AM52" s="6"/>
      <c r="AN52" s="6"/>
      <c r="AO52" s="6"/>
      <c r="AP52" s="6"/>
    </row>
    <row r="53" spans="1:42" ht="15.75" x14ac:dyDescent="0.3">
      <c r="A53" s="270" t="s">
        <v>91</v>
      </c>
      <c r="B53" s="285"/>
      <c r="C53" s="285"/>
      <c r="D53" s="285"/>
      <c r="E53" s="285"/>
      <c r="F53" s="285"/>
      <c r="G53" s="285"/>
      <c r="H53" s="291"/>
      <c r="I53" s="291"/>
      <c r="J53" s="291"/>
      <c r="K53" s="291"/>
      <c r="L53" s="291"/>
      <c r="M53" s="291"/>
      <c r="N53" s="291"/>
      <c r="O53" s="291"/>
      <c r="P53" s="291"/>
      <c r="Q53" s="6"/>
      <c r="R53" s="6"/>
      <c r="S53" s="6"/>
      <c r="T53" s="6"/>
      <c r="U53" s="6"/>
      <c r="V53" s="6"/>
      <c r="W53" s="6"/>
      <c r="X53" s="6"/>
      <c r="Y53" s="6"/>
      <c r="Z53" s="6"/>
      <c r="AA53" s="6"/>
      <c r="AB53" s="6"/>
      <c r="AC53" s="6"/>
      <c r="AD53" s="6"/>
      <c r="AE53" s="6"/>
      <c r="AF53" s="6"/>
      <c r="AG53" s="6"/>
      <c r="AH53" s="6"/>
      <c r="AI53" s="6"/>
      <c r="AJ53" s="6"/>
      <c r="AK53" s="6"/>
      <c r="AL53" s="6"/>
      <c r="AM53" s="6"/>
      <c r="AN53" s="6"/>
      <c r="AO53" s="6"/>
      <c r="AP53" s="6"/>
    </row>
    <row r="54" spans="1:42" ht="15.75" x14ac:dyDescent="0.3">
      <c r="A54" s="360" t="s">
        <v>12</v>
      </c>
      <c r="B54" s="275"/>
      <c r="C54" s="275"/>
      <c r="D54" s="275"/>
      <c r="E54" s="275"/>
      <c r="F54" s="275"/>
      <c r="G54" s="293">
        <f>G109</f>
        <v>1.26</v>
      </c>
      <c r="H54" s="293">
        <f t="shared" ref="H54:P54" si="46">H109</f>
        <v>1.34</v>
      </c>
      <c r="I54" s="293">
        <f t="shared" si="46"/>
        <v>1.3</v>
      </c>
      <c r="J54" s="293">
        <f t="shared" si="46"/>
        <v>1.31</v>
      </c>
      <c r="K54" s="293">
        <f t="shared" si="46"/>
        <v>1.32</v>
      </c>
      <c r="L54" s="293">
        <f t="shared" si="46"/>
        <v>1.33</v>
      </c>
      <c r="M54" s="293">
        <f t="shared" si="46"/>
        <v>1.34</v>
      </c>
      <c r="N54" s="293">
        <f t="shared" si="46"/>
        <v>1.35</v>
      </c>
      <c r="O54" s="293">
        <f t="shared" si="46"/>
        <v>1.36</v>
      </c>
      <c r="P54" s="293">
        <f t="shared" si="46"/>
        <v>1.37</v>
      </c>
      <c r="Q54" s="6"/>
      <c r="R54" s="6"/>
      <c r="S54" s="6"/>
      <c r="T54" s="6"/>
      <c r="U54" s="6"/>
      <c r="V54" s="6"/>
      <c r="W54" s="6"/>
      <c r="X54" s="6"/>
      <c r="Y54" s="6"/>
      <c r="Z54" s="6"/>
      <c r="AA54" s="6"/>
      <c r="AB54" s="6"/>
      <c r="AC54" s="6"/>
      <c r="AD54" s="6"/>
      <c r="AE54" s="6"/>
      <c r="AF54" s="6"/>
      <c r="AG54" s="6"/>
      <c r="AH54" s="6"/>
      <c r="AI54" s="6"/>
      <c r="AJ54" s="6"/>
      <c r="AK54" s="6"/>
      <c r="AL54" s="6"/>
      <c r="AM54" s="6"/>
      <c r="AN54" s="6"/>
      <c r="AO54" s="6"/>
      <c r="AP54" s="6"/>
    </row>
    <row r="55" spans="1:42" ht="15.75" x14ac:dyDescent="0.3">
      <c r="A55" s="366" t="s">
        <v>13</v>
      </c>
      <c r="B55" s="275"/>
      <c r="C55" s="275"/>
      <c r="D55" s="275"/>
      <c r="E55" s="275"/>
      <c r="F55" s="275"/>
      <c r="G55" s="294">
        <v>1.1459999999999999</v>
      </c>
      <c r="H55" s="375">
        <v>1.2</v>
      </c>
      <c r="I55" s="294">
        <v>1.2050000000000001</v>
      </c>
      <c r="J55" s="293">
        <f t="shared" ref="J55:P55" si="47">I55</f>
        <v>1.2050000000000001</v>
      </c>
      <c r="K55" s="293">
        <f t="shared" si="47"/>
        <v>1.2050000000000001</v>
      </c>
      <c r="L55" s="293">
        <f t="shared" si="47"/>
        <v>1.2050000000000001</v>
      </c>
      <c r="M55" s="293">
        <f t="shared" si="47"/>
        <v>1.2050000000000001</v>
      </c>
      <c r="N55" s="293">
        <f t="shared" si="47"/>
        <v>1.2050000000000001</v>
      </c>
      <c r="O55" s="293">
        <f t="shared" si="47"/>
        <v>1.2050000000000001</v>
      </c>
      <c r="P55" s="293">
        <f t="shared" si="47"/>
        <v>1.2050000000000001</v>
      </c>
      <c r="Q55" s="6"/>
      <c r="R55" s="6"/>
      <c r="S55" s="6"/>
      <c r="T55" s="6"/>
      <c r="U55" s="6"/>
      <c r="V55" s="6"/>
      <c r="W55" s="6"/>
      <c r="X55" s="6"/>
      <c r="Y55" s="6"/>
      <c r="Z55" s="6"/>
      <c r="AA55" s="6"/>
      <c r="AB55" s="6"/>
      <c r="AC55" s="6"/>
      <c r="AD55" s="6"/>
      <c r="AE55" s="6"/>
      <c r="AF55" s="6"/>
      <c r="AG55" s="6"/>
      <c r="AH55" s="6"/>
      <c r="AI55" s="6"/>
      <c r="AJ55" s="6"/>
      <c r="AK55" s="6"/>
      <c r="AL55" s="6"/>
      <c r="AM55" s="6"/>
      <c r="AN55" s="6"/>
      <c r="AO55" s="6"/>
      <c r="AP55" s="6"/>
    </row>
    <row r="56" spans="1:42" ht="15.75" x14ac:dyDescent="0.3">
      <c r="A56" s="361" t="s">
        <v>14</v>
      </c>
      <c r="B56" s="275"/>
      <c r="C56" s="275"/>
      <c r="D56" s="275"/>
      <c r="E56" s="275"/>
      <c r="F56" s="275"/>
      <c r="G56" s="294">
        <v>1.1459999999999999</v>
      </c>
      <c r="H56" s="375">
        <v>1.08</v>
      </c>
      <c r="I56" s="294">
        <v>1.0900000000000001</v>
      </c>
      <c r="J56" s="293">
        <f t="shared" ref="I56:P68" si="48">I56</f>
        <v>1.0900000000000001</v>
      </c>
      <c r="K56" s="293">
        <f t="shared" si="48"/>
        <v>1.0900000000000001</v>
      </c>
      <c r="L56" s="293">
        <f t="shared" si="48"/>
        <v>1.0900000000000001</v>
      </c>
      <c r="M56" s="293">
        <f t="shared" si="48"/>
        <v>1.0900000000000001</v>
      </c>
      <c r="N56" s="293">
        <f t="shared" si="48"/>
        <v>1.0900000000000001</v>
      </c>
      <c r="O56" s="293">
        <f t="shared" si="48"/>
        <v>1.0900000000000001</v>
      </c>
      <c r="P56" s="293">
        <f t="shared" si="48"/>
        <v>1.0900000000000001</v>
      </c>
      <c r="Q56" s="6"/>
      <c r="R56" s="6"/>
      <c r="S56" s="6"/>
      <c r="T56" s="6"/>
      <c r="U56" s="6"/>
      <c r="V56" s="6"/>
      <c r="W56" s="6"/>
      <c r="X56" s="6"/>
      <c r="Y56" s="6"/>
      <c r="Z56" s="6"/>
      <c r="AA56" s="6"/>
      <c r="AB56" s="6"/>
      <c r="AC56" s="6"/>
      <c r="AD56" s="6"/>
      <c r="AE56" s="6"/>
      <c r="AF56" s="6"/>
      <c r="AG56" s="6"/>
      <c r="AH56" s="6"/>
      <c r="AI56" s="6"/>
      <c r="AJ56" s="6"/>
      <c r="AK56" s="6"/>
      <c r="AL56" s="6"/>
      <c r="AM56" s="6"/>
      <c r="AN56" s="6"/>
      <c r="AO56" s="6"/>
      <c r="AP56" s="6"/>
    </row>
    <row r="57" spans="1:42" ht="15.75" x14ac:dyDescent="0.3">
      <c r="A57" s="367" t="s">
        <v>15</v>
      </c>
      <c r="B57" s="275"/>
      <c r="C57" s="275"/>
      <c r="D57" s="275"/>
      <c r="E57" s="275"/>
      <c r="F57" s="275"/>
      <c r="G57" s="294">
        <v>1.1459999999999999</v>
      </c>
      <c r="H57" s="294">
        <v>1.1599999999999999</v>
      </c>
      <c r="I57" s="294">
        <v>1.1599999999999999</v>
      </c>
      <c r="J57" s="293">
        <f t="shared" si="48"/>
        <v>1.1599999999999999</v>
      </c>
      <c r="K57" s="293">
        <f t="shared" si="48"/>
        <v>1.1599999999999999</v>
      </c>
      <c r="L57" s="293">
        <f t="shared" si="48"/>
        <v>1.1599999999999999</v>
      </c>
      <c r="M57" s="293">
        <f t="shared" si="48"/>
        <v>1.1599999999999999</v>
      </c>
      <c r="N57" s="293">
        <f t="shared" si="48"/>
        <v>1.1599999999999999</v>
      </c>
      <c r="O57" s="293">
        <f t="shared" si="48"/>
        <v>1.1599999999999999</v>
      </c>
      <c r="P57" s="293">
        <f t="shared" si="48"/>
        <v>1.1599999999999999</v>
      </c>
      <c r="Q57" s="6"/>
      <c r="R57" s="6"/>
      <c r="S57" s="6"/>
      <c r="T57" s="6"/>
      <c r="U57" s="6"/>
      <c r="V57" s="6"/>
      <c r="W57" s="6"/>
      <c r="X57" s="6"/>
      <c r="Y57" s="6"/>
      <c r="Z57" s="6"/>
      <c r="AA57" s="6"/>
      <c r="AB57" s="6"/>
      <c r="AC57" s="6"/>
      <c r="AD57" s="6"/>
      <c r="AE57" s="6"/>
      <c r="AF57" s="6"/>
      <c r="AG57" s="6"/>
      <c r="AH57" s="6"/>
      <c r="AI57" s="6"/>
      <c r="AJ57" s="6"/>
      <c r="AK57" s="6"/>
      <c r="AL57" s="6"/>
      <c r="AM57" s="6"/>
      <c r="AN57" s="6"/>
      <c r="AO57" s="6"/>
      <c r="AP57" s="6"/>
    </row>
    <row r="58" spans="1:42" ht="15.75" x14ac:dyDescent="0.3">
      <c r="A58" s="361" t="s">
        <v>16</v>
      </c>
      <c r="B58" s="275"/>
      <c r="C58" s="275"/>
      <c r="D58" s="275"/>
      <c r="E58" s="275"/>
      <c r="F58" s="275"/>
      <c r="G58" s="294">
        <v>1.1459999999999999</v>
      </c>
      <c r="H58" s="375">
        <v>1.08</v>
      </c>
      <c r="I58" s="294">
        <v>1.0900000000000001</v>
      </c>
      <c r="J58" s="293">
        <f t="shared" si="48"/>
        <v>1.0900000000000001</v>
      </c>
      <c r="K58" s="293">
        <f t="shared" si="48"/>
        <v>1.0900000000000001</v>
      </c>
      <c r="L58" s="293">
        <f t="shared" si="48"/>
        <v>1.0900000000000001</v>
      </c>
      <c r="M58" s="293">
        <f t="shared" si="48"/>
        <v>1.0900000000000001</v>
      </c>
      <c r="N58" s="293">
        <f t="shared" si="48"/>
        <v>1.0900000000000001</v>
      </c>
      <c r="O58" s="293">
        <f t="shared" si="48"/>
        <v>1.0900000000000001</v>
      </c>
      <c r="P58" s="293">
        <f t="shared" si="48"/>
        <v>1.0900000000000001</v>
      </c>
      <c r="Q58" s="6"/>
      <c r="R58" s="6"/>
      <c r="S58" s="6"/>
      <c r="T58" s="6"/>
      <c r="U58" s="6"/>
      <c r="V58" s="6"/>
      <c r="W58" s="6"/>
      <c r="X58" s="6"/>
      <c r="Y58" s="6"/>
      <c r="Z58" s="6"/>
      <c r="AA58" s="6"/>
      <c r="AB58" s="6"/>
      <c r="AC58" s="6"/>
      <c r="AD58" s="6"/>
      <c r="AE58" s="6"/>
      <c r="AF58" s="6"/>
      <c r="AG58" s="6"/>
      <c r="AH58" s="6"/>
      <c r="AI58" s="6"/>
      <c r="AJ58" s="6"/>
      <c r="AK58" s="6"/>
      <c r="AL58" s="6"/>
      <c r="AM58" s="6"/>
      <c r="AN58" s="6"/>
      <c r="AO58" s="6"/>
      <c r="AP58" s="6"/>
    </row>
    <row r="59" spans="1:42" ht="15.75" x14ac:dyDescent="0.3">
      <c r="A59" s="361" t="s">
        <v>17</v>
      </c>
      <c r="B59" s="275"/>
      <c r="C59" s="275"/>
      <c r="D59" s="275"/>
      <c r="E59" s="275"/>
      <c r="F59" s="275"/>
      <c r="G59" s="294">
        <v>1.1459999999999999</v>
      </c>
      <c r="H59" s="375">
        <v>1.08</v>
      </c>
      <c r="I59" s="375">
        <v>1.0900000000000001</v>
      </c>
      <c r="J59" s="293">
        <f t="shared" si="48"/>
        <v>1.0900000000000001</v>
      </c>
      <c r="K59" s="293">
        <f t="shared" si="48"/>
        <v>1.0900000000000001</v>
      </c>
      <c r="L59" s="293">
        <f t="shared" si="48"/>
        <v>1.0900000000000001</v>
      </c>
      <c r="M59" s="293">
        <f t="shared" si="48"/>
        <v>1.0900000000000001</v>
      </c>
      <c r="N59" s="293">
        <f t="shared" si="48"/>
        <v>1.0900000000000001</v>
      </c>
      <c r="O59" s="293">
        <f t="shared" si="48"/>
        <v>1.0900000000000001</v>
      </c>
      <c r="P59" s="293">
        <f t="shared" si="48"/>
        <v>1.0900000000000001</v>
      </c>
      <c r="Q59" s="6"/>
      <c r="R59" s="6"/>
      <c r="S59" s="6"/>
      <c r="T59" s="6"/>
      <c r="U59" s="6"/>
      <c r="V59" s="6"/>
      <c r="W59" s="6"/>
      <c r="X59" s="6"/>
      <c r="Y59" s="6"/>
      <c r="Z59" s="6"/>
      <c r="AA59" s="6"/>
      <c r="AB59" s="6"/>
      <c r="AC59" s="6"/>
      <c r="AD59" s="6"/>
      <c r="AE59" s="6"/>
      <c r="AF59" s="6"/>
      <c r="AG59" s="6"/>
      <c r="AH59" s="6"/>
      <c r="AI59" s="6"/>
      <c r="AJ59" s="6"/>
      <c r="AK59" s="6"/>
      <c r="AL59" s="6"/>
      <c r="AM59" s="6"/>
      <c r="AN59" s="6"/>
      <c r="AO59" s="6"/>
      <c r="AP59" s="6"/>
    </row>
    <row r="60" spans="1:42" ht="15.75" x14ac:dyDescent="0.3">
      <c r="A60" s="367" t="s">
        <v>18</v>
      </c>
      <c r="B60" s="275"/>
      <c r="C60" s="275"/>
      <c r="D60" s="275"/>
      <c r="E60" s="275"/>
      <c r="F60" s="275"/>
      <c r="G60" s="294">
        <v>1.1459999999999999</v>
      </c>
      <c r="H60" s="294">
        <v>1.1599999999999999</v>
      </c>
      <c r="I60" s="294">
        <v>1.1599999999999999</v>
      </c>
      <c r="J60" s="293">
        <f t="shared" si="48"/>
        <v>1.1599999999999999</v>
      </c>
      <c r="K60" s="293">
        <f t="shared" si="48"/>
        <v>1.1599999999999999</v>
      </c>
      <c r="L60" s="293">
        <f t="shared" si="48"/>
        <v>1.1599999999999999</v>
      </c>
      <c r="M60" s="293">
        <f t="shared" si="48"/>
        <v>1.1599999999999999</v>
      </c>
      <c r="N60" s="293">
        <f t="shared" si="48"/>
        <v>1.1599999999999999</v>
      </c>
      <c r="O60" s="293">
        <f t="shared" si="48"/>
        <v>1.1599999999999999</v>
      </c>
      <c r="P60" s="293">
        <f t="shared" si="48"/>
        <v>1.1599999999999999</v>
      </c>
      <c r="Q60" s="6"/>
      <c r="R60" s="6"/>
      <c r="S60" s="6"/>
      <c r="T60" s="6"/>
      <c r="U60" s="6"/>
      <c r="V60" s="6"/>
      <c r="W60" s="6"/>
      <c r="X60" s="6"/>
      <c r="Y60" s="6"/>
      <c r="Z60" s="6"/>
      <c r="AA60" s="6"/>
      <c r="AB60" s="6"/>
      <c r="AC60" s="6"/>
      <c r="AD60" s="6"/>
      <c r="AE60" s="6"/>
      <c r="AF60" s="6"/>
      <c r="AG60" s="6"/>
      <c r="AH60" s="6"/>
      <c r="AI60" s="6"/>
      <c r="AJ60" s="6"/>
      <c r="AK60" s="6"/>
      <c r="AL60" s="6"/>
      <c r="AM60" s="6"/>
      <c r="AN60" s="6"/>
      <c r="AO60" s="6"/>
      <c r="AP60" s="6"/>
    </row>
    <row r="61" spans="1:42" ht="15.75" x14ac:dyDescent="0.3">
      <c r="A61" s="368" t="s">
        <v>19</v>
      </c>
      <c r="B61" s="275"/>
      <c r="C61" s="275"/>
      <c r="D61" s="275"/>
      <c r="E61" s="275"/>
      <c r="F61" s="275"/>
      <c r="G61" s="294">
        <v>1.1459999999999999</v>
      </c>
      <c r="H61" s="294"/>
      <c r="I61" s="294">
        <v>1.1399999999999999</v>
      </c>
      <c r="J61" s="293">
        <f t="shared" si="48"/>
        <v>1.1399999999999999</v>
      </c>
      <c r="K61" s="293">
        <f t="shared" si="48"/>
        <v>1.1399999999999999</v>
      </c>
      <c r="L61" s="293">
        <f t="shared" si="48"/>
        <v>1.1399999999999999</v>
      </c>
      <c r="M61" s="293">
        <f t="shared" si="48"/>
        <v>1.1399999999999999</v>
      </c>
      <c r="N61" s="293">
        <f t="shared" si="48"/>
        <v>1.1399999999999999</v>
      </c>
      <c r="O61" s="293">
        <f t="shared" si="48"/>
        <v>1.1399999999999999</v>
      </c>
      <c r="P61" s="293">
        <f t="shared" si="48"/>
        <v>1.1399999999999999</v>
      </c>
      <c r="Q61" s="6"/>
      <c r="R61" s="6"/>
      <c r="S61" s="6"/>
      <c r="T61" s="6"/>
      <c r="U61" s="6"/>
      <c r="V61" s="6"/>
      <c r="W61" s="6"/>
      <c r="X61" s="6"/>
      <c r="Y61" s="6"/>
      <c r="Z61" s="6"/>
      <c r="AA61" s="6"/>
      <c r="AB61" s="6"/>
      <c r="AC61" s="6"/>
      <c r="AD61" s="6"/>
      <c r="AE61" s="6"/>
      <c r="AF61" s="6"/>
      <c r="AG61" s="6"/>
      <c r="AH61" s="6"/>
      <c r="AI61" s="6"/>
      <c r="AJ61" s="6"/>
      <c r="AK61" s="6"/>
      <c r="AL61" s="6"/>
      <c r="AM61" s="6"/>
      <c r="AN61" s="6"/>
      <c r="AO61" s="6"/>
      <c r="AP61" s="6"/>
    </row>
    <row r="62" spans="1:42" ht="15.75" x14ac:dyDescent="0.3">
      <c r="A62" s="367" t="s">
        <v>20</v>
      </c>
      <c r="B62" s="275"/>
      <c r="C62" s="275"/>
      <c r="D62" s="275"/>
      <c r="E62" s="275"/>
      <c r="F62" s="275"/>
      <c r="G62" s="294">
        <v>1.1459999999999999</v>
      </c>
      <c r="H62" s="294">
        <v>1.1599999999999999</v>
      </c>
      <c r="I62" s="294">
        <v>1.17</v>
      </c>
      <c r="J62" s="293">
        <f t="shared" si="48"/>
        <v>1.17</v>
      </c>
      <c r="K62" s="293">
        <f t="shared" si="48"/>
        <v>1.17</v>
      </c>
      <c r="L62" s="293">
        <f t="shared" si="48"/>
        <v>1.17</v>
      </c>
      <c r="M62" s="293">
        <f t="shared" si="48"/>
        <v>1.17</v>
      </c>
      <c r="N62" s="293">
        <f t="shared" si="48"/>
        <v>1.17</v>
      </c>
      <c r="O62" s="293">
        <f t="shared" si="48"/>
        <v>1.17</v>
      </c>
      <c r="P62" s="293">
        <f t="shared" si="48"/>
        <v>1.17</v>
      </c>
      <c r="Q62" s="6"/>
      <c r="R62" s="6"/>
      <c r="S62" s="6"/>
      <c r="T62" s="6"/>
      <c r="U62" s="6"/>
      <c r="V62" s="6"/>
      <c r="W62" s="6"/>
      <c r="X62" s="6"/>
      <c r="Y62" s="6"/>
      <c r="Z62" s="6"/>
      <c r="AA62" s="6"/>
      <c r="AB62" s="6"/>
      <c r="AC62" s="6"/>
      <c r="AD62" s="6"/>
      <c r="AE62" s="6"/>
      <c r="AF62" s="6"/>
      <c r="AG62" s="6"/>
      <c r="AH62" s="6"/>
      <c r="AI62" s="6"/>
      <c r="AJ62" s="6"/>
      <c r="AK62" s="6"/>
      <c r="AL62" s="6"/>
      <c r="AM62" s="6"/>
      <c r="AN62" s="6"/>
      <c r="AO62" s="6"/>
      <c r="AP62" s="6"/>
    </row>
    <row r="63" spans="1:42" ht="15.75" x14ac:dyDescent="0.3">
      <c r="A63" s="367" t="s">
        <v>21</v>
      </c>
      <c r="B63" s="275"/>
      <c r="C63" s="275"/>
      <c r="D63" s="275"/>
      <c r="E63" s="275"/>
      <c r="F63" s="275"/>
      <c r="G63" s="294">
        <v>1.1459999999999999</v>
      </c>
      <c r="H63" s="294">
        <v>1.1599999999999999</v>
      </c>
      <c r="I63" s="294">
        <v>1.17</v>
      </c>
      <c r="J63" s="293">
        <f t="shared" si="48"/>
        <v>1.17</v>
      </c>
      <c r="K63" s="293">
        <f t="shared" si="48"/>
        <v>1.17</v>
      </c>
      <c r="L63" s="293">
        <f t="shared" si="48"/>
        <v>1.17</v>
      </c>
      <c r="M63" s="293">
        <f t="shared" si="48"/>
        <v>1.17</v>
      </c>
      <c r="N63" s="293">
        <f t="shared" si="48"/>
        <v>1.17</v>
      </c>
      <c r="O63" s="293">
        <f t="shared" si="48"/>
        <v>1.17</v>
      </c>
      <c r="P63" s="293">
        <f t="shared" si="48"/>
        <v>1.17</v>
      </c>
      <c r="Q63" s="6"/>
      <c r="R63" s="6"/>
      <c r="S63" s="6"/>
      <c r="T63" s="6"/>
      <c r="U63" s="6"/>
      <c r="V63" s="6"/>
      <c r="W63" s="6"/>
      <c r="X63" s="6"/>
      <c r="Y63" s="6"/>
      <c r="Z63" s="6"/>
      <c r="AA63" s="6"/>
      <c r="AB63" s="6"/>
      <c r="AC63" s="6"/>
      <c r="AD63" s="6"/>
      <c r="AE63" s="6"/>
      <c r="AF63" s="6"/>
      <c r="AG63" s="6"/>
      <c r="AH63" s="6"/>
      <c r="AI63" s="6"/>
      <c r="AJ63" s="6"/>
      <c r="AK63" s="6"/>
      <c r="AL63" s="6"/>
      <c r="AM63" s="6"/>
      <c r="AN63" s="6"/>
      <c r="AO63" s="6"/>
      <c r="AP63" s="6"/>
    </row>
    <row r="64" spans="1:42" ht="15.75" x14ac:dyDescent="0.3">
      <c r="A64" s="366" t="s">
        <v>22</v>
      </c>
      <c r="B64" s="275"/>
      <c r="C64" s="275"/>
      <c r="D64" s="275"/>
      <c r="E64" s="275"/>
      <c r="F64" s="275"/>
      <c r="G64" s="294">
        <v>1.1459999999999999</v>
      </c>
      <c r="H64" s="375">
        <v>1.2</v>
      </c>
      <c r="I64" s="294">
        <v>1.2050000000000001</v>
      </c>
      <c r="J64" s="293">
        <f t="shared" si="48"/>
        <v>1.2050000000000001</v>
      </c>
      <c r="K64" s="293">
        <f t="shared" si="48"/>
        <v>1.2050000000000001</v>
      </c>
      <c r="L64" s="293">
        <f t="shared" si="48"/>
        <v>1.2050000000000001</v>
      </c>
      <c r="M64" s="293">
        <f t="shared" si="48"/>
        <v>1.2050000000000001</v>
      </c>
      <c r="N64" s="293">
        <f t="shared" si="48"/>
        <v>1.2050000000000001</v>
      </c>
      <c r="O64" s="293">
        <f t="shared" si="48"/>
        <v>1.2050000000000001</v>
      </c>
      <c r="P64" s="293">
        <f t="shared" si="48"/>
        <v>1.2050000000000001</v>
      </c>
      <c r="Q64" s="6"/>
      <c r="R64" s="6"/>
      <c r="S64" s="6"/>
      <c r="T64" s="6"/>
      <c r="U64" s="6"/>
      <c r="V64" s="6"/>
      <c r="W64" s="6"/>
      <c r="X64" s="6"/>
      <c r="Y64" s="6"/>
      <c r="Z64" s="6"/>
      <c r="AA64" s="6"/>
      <c r="AB64" s="6"/>
      <c r="AC64" s="6"/>
      <c r="AD64" s="6"/>
      <c r="AE64" s="6"/>
      <c r="AF64" s="6"/>
      <c r="AG64" s="6"/>
      <c r="AH64" s="6"/>
      <c r="AI64" s="6"/>
      <c r="AJ64" s="6"/>
      <c r="AK64" s="6"/>
      <c r="AL64" s="6"/>
      <c r="AM64" s="6"/>
      <c r="AN64" s="6"/>
      <c r="AO64" s="6"/>
      <c r="AP64" s="6"/>
    </row>
    <row r="65" spans="1:42" ht="15.75" x14ac:dyDescent="0.3">
      <c r="A65" s="367" t="s">
        <v>23</v>
      </c>
      <c r="B65" s="275"/>
      <c r="C65" s="275"/>
      <c r="D65" s="275"/>
      <c r="E65" s="275"/>
      <c r="F65" s="275"/>
      <c r="G65" s="294">
        <v>1.1459999999999999</v>
      </c>
      <c r="H65" s="294">
        <v>1.1599999999999999</v>
      </c>
      <c r="I65" s="293">
        <f t="shared" si="48"/>
        <v>1.1599999999999999</v>
      </c>
      <c r="J65" s="293">
        <f t="shared" si="48"/>
        <v>1.1599999999999999</v>
      </c>
      <c r="K65" s="293">
        <f t="shared" si="48"/>
        <v>1.1599999999999999</v>
      </c>
      <c r="L65" s="293">
        <f t="shared" si="48"/>
        <v>1.1599999999999999</v>
      </c>
      <c r="M65" s="293">
        <f t="shared" si="48"/>
        <v>1.1599999999999999</v>
      </c>
      <c r="N65" s="293">
        <f t="shared" si="48"/>
        <v>1.1599999999999999</v>
      </c>
      <c r="O65" s="293">
        <f t="shared" si="48"/>
        <v>1.1599999999999999</v>
      </c>
      <c r="P65" s="293">
        <f t="shared" si="48"/>
        <v>1.1599999999999999</v>
      </c>
      <c r="Q65" s="6"/>
      <c r="R65" s="6"/>
      <c r="S65" s="6"/>
      <c r="T65" s="6"/>
      <c r="U65" s="6"/>
      <c r="V65" s="6"/>
      <c r="W65" s="6"/>
      <c r="X65" s="6"/>
      <c r="Y65" s="6"/>
      <c r="Z65" s="6"/>
      <c r="AA65" s="6"/>
      <c r="AB65" s="6"/>
      <c r="AC65" s="6"/>
      <c r="AD65" s="6"/>
      <c r="AE65" s="6"/>
      <c r="AF65" s="6"/>
      <c r="AG65" s="6"/>
      <c r="AH65" s="6"/>
      <c r="AI65" s="6"/>
      <c r="AJ65" s="6"/>
      <c r="AK65" s="6"/>
      <c r="AL65" s="6"/>
      <c r="AM65" s="6"/>
      <c r="AN65" s="6"/>
      <c r="AO65" s="6"/>
      <c r="AP65" s="6"/>
    </row>
    <row r="66" spans="1:42" ht="15.75" x14ac:dyDescent="0.3">
      <c r="A66" s="366" t="s">
        <v>24</v>
      </c>
      <c r="B66" s="275"/>
      <c r="C66" s="275"/>
      <c r="D66" s="275"/>
      <c r="E66" s="275"/>
      <c r="F66" s="275"/>
      <c r="G66" s="294">
        <v>1.1459999999999999</v>
      </c>
      <c r="H66" s="375">
        <v>1.2</v>
      </c>
      <c r="I66" s="294">
        <v>1.2050000000000001</v>
      </c>
      <c r="J66" s="293">
        <f t="shared" si="48"/>
        <v>1.2050000000000001</v>
      </c>
      <c r="K66" s="293">
        <f t="shared" si="48"/>
        <v>1.2050000000000001</v>
      </c>
      <c r="L66" s="293">
        <f t="shared" si="48"/>
        <v>1.2050000000000001</v>
      </c>
      <c r="M66" s="293">
        <f t="shared" si="48"/>
        <v>1.2050000000000001</v>
      </c>
      <c r="N66" s="293">
        <f t="shared" si="48"/>
        <v>1.2050000000000001</v>
      </c>
      <c r="O66" s="293">
        <f t="shared" si="48"/>
        <v>1.2050000000000001</v>
      </c>
      <c r="P66" s="293">
        <f t="shared" si="48"/>
        <v>1.2050000000000001</v>
      </c>
      <c r="Q66" s="6"/>
      <c r="R66" s="6"/>
      <c r="S66" s="6"/>
      <c r="T66" s="6"/>
      <c r="U66" s="6"/>
      <c r="V66" s="6"/>
      <c r="W66" s="6"/>
      <c r="X66" s="6"/>
      <c r="Y66" s="6"/>
      <c r="Z66" s="6"/>
      <c r="AA66" s="6"/>
      <c r="AB66" s="6"/>
      <c r="AC66" s="6"/>
      <c r="AD66" s="6"/>
      <c r="AE66" s="6"/>
      <c r="AF66" s="6"/>
      <c r="AG66" s="6"/>
      <c r="AH66" s="6"/>
      <c r="AI66" s="6"/>
      <c r="AJ66" s="6"/>
      <c r="AK66" s="6"/>
      <c r="AL66" s="6"/>
      <c r="AM66" s="6"/>
      <c r="AN66" s="6"/>
      <c r="AO66" s="6"/>
      <c r="AP66" s="6"/>
    </row>
    <row r="67" spans="1:42" ht="15.75" x14ac:dyDescent="0.3">
      <c r="A67" s="367" t="s">
        <v>25</v>
      </c>
      <c r="B67" s="275"/>
      <c r="C67" s="275"/>
      <c r="D67" s="275"/>
      <c r="E67" s="275"/>
      <c r="F67" s="275"/>
      <c r="G67" s="294">
        <v>1.1459999999999999</v>
      </c>
      <c r="H67" s="294">
        <v>1.1599999999999999</v>
      </c>
      <c r="I67" s="294">
        <v>1.17</v>
      </c>
      <c r="J67" s="293">
        <f t="shared" si="48"/>
        <v>1.17</v>
      </c>
      <c r="K67" s="293">
        <f t="shared" si="48"/>
        <v>1.17</v>
      </c>
      <c r="L67" s="293">
        <f t="shared" si="48"/>
        <v>1.17</v>
      </c>
      <c r="M67" s="293">
        <f t="shared" si="48"/>
        <v>1.17</v>
      </c>
      <c r="N67" s="293">
        <f t="shared" si="48"/>
        <v>1.17</v>
      </c>
      <c r="O67" s="293">
        <f t="shared" si="48"/>
        <v>1.17</v>
      </c>
      <c r="P67" s="293">
        <f t="shared" si="48"/>
        <v>1.17</v>
      </c>
      <c r="Q67" s="6"/>
      <c r="R67" s="6"/>
      <c r="S67" s="6"/>
      <c r="T67" s="6"/>
      <c r="U67" s="6"/>
      <c r="V67" s="6"/>
      <c r="W67" s="6"/>
      <c r="X67" s="6"/>
      <c r="Y67" s="6"/>
      <c r="Z67" s="6"/>
      <c r="AA67" s="6"/>
      <c r="AB67" s="6"/>
      <c r="AC67" s="6"/>
      <c r="AD67" s="6"/>
      <c r="AE67" s="6"/>
      <c r="AF67" s="6"/>
      <c r="AG67" s="6"/>
      <c r="AH67" s="6"/>
      <c r="AI67" s="6"/>
      <c r="AJ67" s="6"/>
      <c r="AK67" s="6"/>
      <c r="AL67" s="6"/>
      <c r="AM67" s="6"/>
      <c r="AN67" s="6"/>
      <c r="AO67" s="6"/>
      <c r="AP67" s="6"/>
    </row>
    <row r="68" spans="1:42" ht="15.75" x14ac:dyDescent="0.3">
      <c r="A68" s="368" t="s">
        <v>98</v>
      </c>
      <c r="B68" s="376"/>
      <c r="C68" s="376"/>
      <c r="D68" s="376"/>
      <c r="E68" s="376"/>
      <c r="F68" s="376"/>
      <c r="G68" s="377">
        <v>1.1459999999999999</v>
      </c>
      <c r="H68" s="377">
        <v>1.1599999999999999</v>
      </c>
      <c r="I68" s="377">
        <v>1.1399999999999999</v>
      </c>
      <c r="J68" s="378">
        <f t="shared" si="48"/>
        <v>1.1399999999999999</v>
      </c>
      <c r="K68" s="378">
        <f t="shared" si="48"/>
        <v>1.1399999999999999</v>
      </c>
      <c r="L68" s="378">
        <f t="shared" si="48"/>
        <v>1.1399999999999999</v>
      </c>
      <c r="M68" s="378">
        <f t="shared" si="48"/>
        <v>1.1399999999999999</v>
      </c>
      <c r="N68" s="378">
        <f t="shared" si="48"/>
        <v>1.1399999999999999</v>
      </c>
      <c r="O68" s="378">
        <f t="shared" si="48"/>
        <v>1.1399999999999999</v>
      </c>
      <c r="P68" s="378">
        <f t="shared" si="48"/>
        <v>1.1399999999999999</v>
      </c>
      <c r="Q68" s="6"/>
      <c r="R68" s="6"/>
      <c r="S68" s="6"/>
      <c r="T68" s="6"/>
      <c r="U68" s="6"/>
      <c r="V68" s="6"/>
      <c r="W68" s="6"/>
      <c r="X68" s="6"/>
      <c r="Y68" s="6"/>
      <c r="Z68" s="6"/>
      <c r="AA68" s="6"/>
      <c r="AB68" s="6"/>
      <c r="AC68" s="6"/>
      <c r="AD68" s="6"/>
      <c r="AE68" s="6"/>
      <c r="AF68" s="6"/>
      <c r="AG68" s="6"/>
      <c r="AH68" s="6"/>
      <c r="AI68" s="6"/>
      <c r="AJ68" s="6"/>
      <c r="AK68" s="6"/>
      <c r="AL68" s="6"/>
      <c r="AM68" s="6"/>
      <c r="AN68" s="6"/>
      <c r="AO68" s="6"/>
      <c r="AP68" s="6"/>
    </row>
    <row r="69" spans="1:42" ht="15.75" x14ac:dyDescent="0.3">
      <c r="A69" s="248" t="s">
        <v>26</v>
      </c>
      <c r="B69" s="376"/>
      <c r="C69" s="376"/>
      <c r="D69" s="376"/>
      <c r="E69" s="376"/>
      <c r="F69" s="376"/>
      <c r="G69" s="377"/>
      <c r="H69" s="378"/>
      <c r="I69" s="377"/>
      <c r="J69" s="377"/>
      <c r="K69" s="378"/>
      <c r="L69" s="378"/>
      <c r="M69" s="378"/>
      <c r="N69" s="378"/>
      <c r="O69" s="378"/>
      <c r="P69" s="378"/>
      <c r="Q69" s="6"/>
      <c r="R69" s="6"/>
      <c r="S69" s="6"/>
      <c r="T69" s="6"/>
      <c r="U69" s="6"/>
      <c r="V69" s="6"/>
      <c r="W69" s="6"/>
      <c r="X69" s="6"/>
      <c r="Y69" s="6"/>
      <c r="Z69" s="6"/>
      <c r="AA69" s="6"/>
      <c r="AB69" s="6"/>
      <c r="AC69" s="6"/>
      <c r="AD69" s="6"/>
      <c r="AE69" s="6"/>
      <c r="AF69" s="6"/>
      <c r="AG69" s="6"/>
      <c r="AH69" s="6"/>
      <c r="AI69" s="6"/>
      <c r="AJ69" s="6"/>
      <c r="AK69" s="6"/>
      <c r="AL69" s="6"/>
      <c r="AM69" s="6"/>
      <c r="AN69" s="6"/>
      <c r="AO69" s="6"/>
      <c r="AP69" s="6"/>
    </row>
    <row r="70" spans="1:42" ht="15.75" x14ac:dyDescent="0.3">
      <c r="A70" s="364" t="s">
        <v>27</v>
      </c>
      <c r="B70" s="376"/>
      <c r="C70" s="376"/>
      <c r="D70" s="376"/>
      <c r="E70" s="376"/>
      <c r="F70" s="376"/>
      <c r="G70" s="377"/>
      <c r="H70" s="375"/>
      <c r="I70" s="375">
        <v>1.0900000000000001</v>
      </c>
      <c r="J70" s="293">
        <f t="shared" ref="J70" si="49">I70</f>
        <v>1.0900000000000001</v>
      </c>
      <c r="K70" s="293">
        <f t="shared" ref="K70" si="50">J70</f>
        <v>1.0900000000000001</v>
      </c>
      <c r="L70" s="293">
        <f t="shared" ref="L70" si="51">K70</f>
        <v>1.0900000000000001</v>
      </c>
      <c r="M70" s="293">
        <f t="shared" ref="M70" si="52">L70</f>
        <v>1.0900000000000001</v>
      </c>
      <c r="N70" s="293">
        <f t="shared" ref="N70" si="53">M70</f>
        <v>1.0900000000000001</v>
      </c>
      <c r="O70" s="293">
        <f t="shared" ref="O70" si="54">N70</f>
        <v>1.0900000000000001</v>
      </c>
      <c r="P70" s="293">
        <f t="shared" ref="P70" si="55">O70</f>
        <v>1.0900000000000001</v>
      </c>
      <c r="Q70" s="6"/>
      <c r="R70" s="6"/>
      <c r="S70" s="6"/>
      <c r="T70" s="6"/>
      <c r="U70" s="6"/>
      <c r="V70" s="6"/>
      <c r="W70" s="6"/>
      <c r="X70" s="6"/>
      <c r="Y70" s="6"/>
      <c r="Z70" s="6"/>
      <c r="AA70" s="6"/>
      <c r="AB70" s="6"/>
      <c r="AC70" s="6"/>
      <c r="AD70" s="6"/>
      <c r="AE70" s="6"/>
      <c r="AF70" s="6"/>
      <c r="AG70" s="6"/>
      <c r="AH70" s="6"/>
      <c r="AI70" s="6"/>
      <c r="AJ70" s="6"/>
      <c r="AK70" s="6"/>
      <c r="AL70" s="6"/>
      <c r="AM70" s="6"/>
      <c r="AN70" s="6"/>
      <c r="AO70" s="6"/>
      <c r="AP70" s="6"/>
    </row>
    <row r="71" spans="1:42" ht="15.75" x14ac:dyDescent="0.3">
      <c r="A71" s="379" t="s">
        <v>8</v>
      </c>
      <c r="B71" s="380"/>
      <c r="C71" s="380"/>
      <c r="D71" s="380"/>
      <c r="E71" s="380"/>
      <c r="F71" s="380"/>
      <c r="G71" s="404">
        <v>1.19</v>
      </c>
      <c r="H71" s="382">
        <v>1.22</v>
      </c>
      <c r="I71" s="400">
        <v>1.196</v>
      </c>
      <c r="J71" s="400">
        <f>I71+0.02</f>
        <v>1.216</v>
      </c>
      <c r="K71" s="400">
        <f>J71+0.02</f>
        <v>1.236</v>
      </c>
      <c r="L71" s="400">
        <f>K71+0.03</f>
        <v>1.266</v>
      </c>
      <c r="M71" s="400">
        <f>L71+0.02</f>
        <v>1.286</v>
      </c>
      <c r="N71" s="400">
        <f>M71+0.02</f>
        <v>1.306</v>
      </c>
      <c r="O71" s="400">
        <f>N71+0.02</f>
        <v>1.3260000000000001</v>
      </c>
      <c r="P71" s="400">
        <f>O71+0.02</f>
        <v>1.3460000000000001</v>
      </c>
      <c r="Q71" s="6"/>
      <c r="R71" s="6"/>
      <c r="S71" s="6"/>
      <c r="T71" s="6"/>
      <c r="U71" s="6"/>
      <c r="V71" s="6"/>
      <c r="W71" s="6"/>
      <c r="X71" s="6"/>
      <c r="Y71" s="6"/>
      <c r="Z71" s="6"/>
      <c r="AA71" s="6"/>
      <c r="AB71" s="6"/>
      <c r="AC71" s="6"/>
      <c r="AD71" s="6"/>
      <c r="AE71" s="6"/>
      <c r="AF71" s="6"/>
      <c r="AG71" s="6"/>
      <c r="AH71" s="6"/>
      <c r="AI71" s="6"/>
      <c r="AJ71" s="6"/>
      <c r="AK71" s="6"/>
      <c r="AL71" s="6"/>
      <c r="AM71" s="6"/>
      <c r="AN71" s="6"/>
      <c r="AO71" s="6"/>
      <c r="AP71" s="6"/>
    </row>
    <row r="72" spans="1:42" ht="15.75" x14ac:dyDescent="0.3">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row>
    <row r="73" spans="1:42" ht="15.75" x14ac:dyDescent="0.3">
      <c r="A73" s="248"/>
      <c r="B73" s="275"/>
      <c r="C73" s="275"/>
      <c r="D73" s="275"/>
      <c r="E73" s="275"/>
      <c r="F73" s="275"/>
      <c r="G73" s="275"/>
      <c r="H73" s="289"/>
      <c r="I73" s="289"/>
      <c r="J73" s="289"/>
      <c r="K73" s="289"/>
      <c r="L73" s="289"/>
      <c r="M73" s="289"/>
      <c r="N73" s="289"/>
      <c r="O73" s="289"/>
      <c r="P73" s="289"/>
      <c r="Q73" s="6"/>
      <c r="R73" s="6"/>
      <c r="S73" s="6"/>
      <c r="T73" s="6"/>
      <c r="U73" s="6"/>
      <c r="V73" s="6"/>
      <c r="W73" s="6"/>
      <c r="X73" s="6"/>
      <c r="Y73" s="6"/>
      <c r="Z73" s="6"/>
      <c r="AA73" s="6"/>
      <c r="AB73" s="6"/>
      <c r="AC73" s="6"/>
      <c r="AD73" s="6"/>
      <c r="AE73" s="6"/>
      <c r="AF73" s="6"/>
      <c r="AG73" s="6"/>
      <c r="AH73" s="6"/>
      <c r="AI73" s="6"/>
      <c r="AJ73" s="6"/>
      <c r="AK73" s="6"/>
      <c r="AL73" s="6"/>
      <c r="AM73" s="6"/>
      <c r="AN73" s="6"/>
      <c r="AO73" s="6"/>
      <c r="AP73" s="6"/>
    </row>
    <row r="74" spans="1:42" ht="15.75" x14ac:dyDescent="0.3">
      <c r="A74" s="270" t="s">
        <v>12</v>
      </c>
      <c r="B74" s="270"/>
      <c r="C74" s="270"/>
      <c r="D74" s="270"/>
      <c r="E74" s="270"/>
      <c r="F74" s="270"/>
      <c r="G74" s="270"/>
      <c r="H74" s="270"/>
      <c r="I74" s="270"/>
      <c r="J74" s="270"/>
      <c r="K74" s="270"/>
      <c r="L74" s="270"/>
      <c r="M74" s="270"/>
      <c r="N74" s="270"/>
      <c r="O74" s="270"/>
      <c r="P74" s="270"/>
      <c r="Q74" s="6"/>
      <c r="R74" s="6"/>
      <c r="S74" s="6"/>
      <c r="T74" s="6"/>
      <c r="U74" s="6"/>
      <c r="V74" s="6"/>
      <c r="W74" s="6"/>
      <c r="X74" s="6"/>
      <c r="Y74" s="6"/>
      <c r="Z74" s="6"/>
      <c r="AA74" s="6"/>
      <c r="AB74" s="6"/>
      <c r="AC74" s="6"/>
      <c r="AD74" s="6"/>
      <c r="AE74" s="6"/>
      <c r="AF74" s="6"/>
      <c r="AG74" s="6"/>
      <c r="AH74" s="6"/>
      <c r="AI74" s="6"/>
      <c r="AJ74" s="6"/>
      <c r="AK74" s="6"/>
      <c r="AL74" s="6"/>
      <c r="AM74" s="6"/>
      <c r="AN74" s="6"/>
      <c r="AO74" s="6"/>
      <c r="AP74" s="6"/>
    </row>
    <row r="75" spans="1:42" ht="15.75" x14ac:dyDescent="0.3">
      <c r="A75" s="248" t="s">
        <v>1</v>
      </c>
      <c r="B75" s="254"/>
      <c r="C75" s="254"/>
      <c r="D75" s="254"/>
      <c r="E75" s="254"/>
      <c r="F75" s="254"/>
      <c r="G75" s="279">
        <v>11233</v>
      </c>
      <c r="H75" s="279">
        <v>11243</v>
      </c>
      <c r="I75" s="275">
        <f t="shared" ref="I75:P75" si="56">H75+I98</f>
        <v>11353</v>
      </c>
      <c r="J75" s="275">
        <f t="shared" si="56"/>
        <v>11671.945258452977</v>
      </c>
      <c r="K75" s="275">
        <f t="shared" si="56"/>
        <v>11990.890516905954</v>
      </c>
      <c r="L75" s="275">
        <f t="shared" si="56"/>
        <v>12309.835775358932</v>
      </c>
      <c r="M75" s="275">
        <f t="shared" si="56"/>
        <v>12628.781033811909</v>
      </c>
      <c r="N75" s="275">
        <f t="shared" si="56"/>
        <v>12947.726292264886</v>
      </c>
      <c r="O75" s="275">
        <f t="shared" si="56"/>
        <v>13266.671550717863</v>
      </c>
      <c r="P75" s="275">
        <f t="shared" si="56"/>
        <v>13585.61680917084</v>
      </c>
      <c r="Q75" s="6"/>
      <c r="R75" s="6"/>
      <c r="S75" s="6"/>
      <c r="T75" s="6"/>
      <c r="U75" s="6"/>
      <c r="V75" s="6"/>
      <c r="W75" s="6"/>
      <c r="X75" s="6"/>
      <c r="Y75" s="6"/>
      <c r="Z75" s="6"/>
      <c r="AA75" s="6"/>
      <c r="AB75" s="6"/>
      <c r="AC75" s="6"/>
      <c r="AD75" s="6"/>
      <c r="AE75" s="6"/>
      <c r="AF75" s="6"/>
      <c r="AG75" s="6"/>
      <c r="AH75" s="6"/>
      <c r="AI75" s="6"/>
      <c r="AJ75" s="6"/>
      <c r="AK75" s="6"/>
      <c r="AL75" s="6"/>
      <c r="AM75" s="6"/>
      <c r="AN75" s="6"/>
      <c r="AO75" s="6"/>
      <c r="AP75" s="6"/>
    </row>
    <row r="76" spans="1:42" ht="15.75" x14ac:dyDescent="0.3">
      <c r="A76" s="248" t="s">
        <v>2</v>
      </c>
      <c r="B76" s="275"/>
      <c r="C76" s="275"/>
      <c r="D76" s="275"/>
      <c r="E76" s="275"/>
      <c r="F76" s="275"/>
      <c r="G76" s="279">
        <v>23100</v>
      </c>
      <c r="H76" s="275">
        <f t="shared" ref="H76:P76" si="57">G76+H99</f>
        <v>23787.593111567192</v>
      </c>
      <c r="I76" s="275">
        <f t="shared" si="57"/>
        <v>24475.186223134384</v>
      </c>
      <c r="J76" s="275">
        <f t="shared" si="57"/>
        <v>25162.779334701576</v>
      </c>
      <c r="K76" s="275">
        <f t="shared" si="57"/>
        <v>25850.372446268768</v>
      </c>
      <c r="L76" s="275">
        <f t="shared" si="57"/>
        <v>26537.96555783596</v>
      </c>
      <c r="M76" s="275">
        <f t="shared" si="57"/>
        <v>27225.558669403152</v>
      </c>
      <c r="N76" s="275">
        <f t="shared" si="57"/>
        <v>27913.151780970344</v>
      </c>
      <c r="O76" s="275">
        <f t="shared" si="57"/>
        <v>28600.744892537536</v>
      </c>
      <c r="P76" s="275">
        <f t="shared" si="57"/>
        <v>29288.338004104728</v>
      </c>
      <c r="Q76" s="6"/>
      <c r="R76" s="6"/>
      <c r="S76" s="6"/>
      <c r="T76" s="6"/>
      <c r="U76" s="6"/>
      <c r="V76" s="6"/>
      <c r="W76" s="6"/>
      <c r="X76" s="6"/>
      <c r="Y76" s="6"/>
      <c r="Z76" s="6"/>
      <c r="AA76" s="6"/>
      <c r="AB76" s="6"/>
      <c r="AC76" s="6"/>
      <c r="AD76" s="6"/>
      <c r="AE76" s="6"/>
      <c r="AF76" s="6"/>
      <c r="AG76" s="6"/>
      <c r="AH76" s="6"/>
      <c r="AI76" s="6"/>
      <c r="AJ76" s="6"/>
      <c r="AK76" s="6"/>
      <c r="AL76" s="6"/>
      <c r="AM76" s="6"/>
      <c r="AN76" s="6"/>
      <c r="AO76" s="6"/>
      <c r="AP76" s="6"/>
    </row>
    <row r="77" spans="1:42" ht="15.75" x14ac:dyDescent="0.3">
      <c r="A77" s="248" t="s">
        <v>28</v>
      </c>
      <c r="B77" s="278"/>
      <c r="C77" s="278"/>
      <c r="D77" s="278"/>
      <c r="E77" s="278"/>
      <c r="F77" s="278"/>
      <c r="G77" s="279">
        <v>9877</v>
      </c>
      <c r="H77" s="275">
        <f t="shared" ref="H77:P77" si="58">G77+H100</f>
        <v>10170.998145582214</v>
      </c>
      <c r="I77" s="275">
        <f t="shared" si="58"/>
        <v>10464.996291164429</v>
      </c>
      <c r="J77" s="275">
        <f t="shared" si="58"/>
        <v>10758.994436746643</v>
      </c>
      <c r="K77" s="275">
        <f t="shared" si="58"/>
        <v>11052.992582328858</v>
      </c>
      <c r="L77" s="275">
        <f t="shared" si="58"/>
        <v>11346.990727911072</v>
      </c>
      <c r="M77" s="275">
        <f t="shared" si="58"/>
        <v>11640.988873493287</v>
      </c>
      <c r="N77" s="275">
        <f t="shared" si="58"/>
        <v>11934.987019075501</v>
      </c>
      <c r="O77" s="275">
        <f t="shared" si="58"/>
        <v>12228.985164657715</v>
      </c>
      <c r="P77" s="275">
        <f t="shared" si="58"/>
        <v>12522.98331023993</v>
      </c>
      <c r="Q77" s="6"/>
      <c r="R77" s="6"/>
      <c r="S77" s="6"/>
      <c r="T77" s="6"/>
      <c r="U77" s="6"/>
      <c r="V77" s="6"/>
      <c r="W77" s="6"/>
      <c r="X77" s="6"/>
      <c r="Y77" s="6"/>
      <c r="Z77" s="6"/>
      <c r="AA77" s="6"/>
      <c r="AB77" s="6"/>
      <c r="AC77" s="6"/>
      <c r="AD77" s="6"/>
      <c r="AE77" s="6"/>
      <c r="AF77" s="6"/>
      <c r="AG77" s="6"/>
      <c r="AH77" s="6"/>
      <c r="AI77" s="6"/>
      <c r="AJ77" s="6"/>
      <c r="AK77" s="6"/>
      <c r="AL77" s="6"/>
      <c r="AM77" s="6"/>
      <c r="AN77" s="6"/>
      <c r="AO77" s="6"/>
      <c r="AP77" s="6"/>
    </row>
    <row r="78" spans="1:42" ht="15.75" x14ac:dyDescent="0.3">
      <c r="A78" s="248" t="s">
        <v>29</v>
      </c>
      <c r="B78" s="275"/>
      <c r="C78" s="275"/>
      <c r="D78" s="275"/>
      <c r="E78" s="275"/>
      <c r="F78" s="275"/>
      <c r="G78" s="279">
        <v>6500</v>
      </c>
      <c r="H78" s="275">
        <f t="shared" ref="H78:P78" si="59">G78+H101</f>
        <v>6693.4785811769152</v>
      </c>
      <c r="I78" s="275">
        <f t="shared" si="59"/>
        <v>6886.9571623538304</v>
      </c>
      <c r="J78" s="275">
        <f t="shared" si="59"/>
        <v>7080.4357435307456</v>
      </c>
      <c r="K78" s="275">
        <f t="shared" si="59"/>
        <v>7273.9143247076609</v>
      </c>
      <c r="L78" s="275">
        <f t="shared" si="59"/>
        <v>7467.3929058845761</v>
      </c>
      <c r="M78" s="275">
        <f t="shared" si="59"/>
        <v>7660.8714870614913</v>
      </c>
      <c r="N78" s="275">
        <f t="shared" si="59"/>
        <v>7854.3500682384065</v>
      </c>
      <c r="O78" s="275">
        <f t="shared" si="59"/>
        <v>8047.8286494153217</v>
      </c>
      <c r="P78" s="275">
        <f t="shared" si="59"/>
        <v>8241.3072305922378</v>
      </c>
      <c r="Q78" s="6"/>
      <c r="R78" s="6"/>
      <c r="S78" s="6"/>
      <c r="T78" s="6"/>
      <c r="U78" s="6"/>
      <c r="V78" s="6"/>
      <c r="W78" s="6"/>
      <c r="X78" s="6"/>
      <c r="Y78" s="6"/>
      <c r="Z78" s="6"/>
      <c r="AA78" s="6"/>
      <c r="AB78" s="6"/>
      <c r="AC78" s="6"/>
      <c r="AD78" s="6"/>
      <c r="AE78" s="6"/>
      <c r="AF78" s="6"/>
      <c r="AG78" s="6"/>
      <c r="AH78" s="6"/>
      <c r="AI78" s="6"/>
      <c r="AJ78" s="6"/>
      <c r="AK78" s="6"/>
      <c r="AL78" s="6"/>
      <c r="AM78" s="6"/>
      <c r="AN78" s="6"/>
      <c r="AO78" s="6"/>
      <c r="AP78" s="6"/>
    </row>
    <row r="79" spans="1:42" ht="15.75" x14ac:dyDescent="0.3">
      <c r="A79" s="248" t="s">
        <v>30</v>
      </c>
      <c r="B79" s="278"/>
      <c r="C79" s="278"/>
      <c r="D79" s="278"/>
      <c r="E79" s="278"/>
      <c r="F79" s="278"/>
      <c r="G79" s="279">
        <v>4350</v>
      </c>
      <c r="H79" s="275">
        <f t="shared" ref="H79:P79" si="60">G79+H102</f>
        <v>4479.4818197107052</v>
      </c>
      <c r="I79" s="275">
        <f t="shared" si="60"/>
        <v>4608.9636394214103</v>
      </c>
      <c r="J79" s="275">
        <f t="shared" si="60"/>
        <v>4738.4454591321155</v>
      </c>
      <c r="K79" s="275">
        <f t="shared" si="60"/>
        <v>4867.9272788428207</v>
      </c>
      <c r="L79" s="275">
        <f t="shared" si="60"/>
        <v>4997.4090985535258</v>
      </c>
      <c r="M79" s="275">
        <f t="shared" si="60"/>
        <v>5126.890918264231</v>
      </c>
      <c r="N79" s="275">
        <f t="shared" si="60"/>
        <v>5256.3727379749362</v>
      </c>
      <c r="O79" s="275">
        <f t="shared" si="60"/>
        <v>5385.8545576856413</v>
      </c>
      <c r="P79" s="275">
        <f t="shared" si="60"/>
        <v>5515.3363773963465</v>
      </c>
      <c r="Q79" s="6"/>
      <c r="R79" s="6"/>
      <c r="S79" s="6"/>
      <c r="T79" s="6"/>
      <c r="U79" s="6"/>
      <c r="V79" s="6"/>
      <c r="W79" s="6"/>
      <c r="X79" s="6"/>
      <c r="Y79" s="6"/>
      <c r="Z79" s="6"/>
      <c r="AA79" s="6"/>
      <c r="AB79" s="6"/>
      <c r="AC79" s="6"/>
      <c r="AD79" s="6"/>
      <c r="AE79" s="6"/>
      <c r="AF79" s="6"/>
      <c r="AG79" s="6"/>
      <c r="AH79" s="6"/>
      <c r="AI79" s="6"/>
      <c r="AJ79" s="6"/>
      <c r="AK79" s="6"/>
      <c r="AL79" s="6"/>
      <c r="AM79" s="6"/>
      <c r="AN79" s="6"/>
      <c r="AO79" s="6"/>
      <c r="AP79" s="6"/>
    </row>
    <row r="80" spans="1:42" ht="15.75" x14ac:dyDescent="0.3">
      <c r="A80" s="248" t="s">
        <v>31</v>
      </c>
      <c r="B80" s="275"/>
      <c r="C80" s="275"/>
      <c r="D80" s="275"/>
      <c r="E80" s="275"/>
      <c r="F80" s="275"/>
      <c r="G80" s="279">
        <v>3300</v>
      </c>
      <c r="H80" s="275">
        <f t="shared" ref="H80:P80" si="61">G80+H103</f>
        <v>3398.2275873667418</v>
      </c>
      <c r="I80" s="275">
        <f t="shared" si="61"/>
        <v>3496.4551747334835</v>
      </c>
      <c r="J80" s="275">
        <f t="shared" si="61"/>
        <v>3594.6827621002253</v>
      </c>
      <c r="K80" s="275">
        <f t="shared" si="61"/>
        <v>3692.9103494669671</v>
      </c>
      <c r="L80" s="275">
        <f t="shared" si="61"/>
        <v>3791.1379368337089</v>
      </c>
      <c r="M80" s="275">
        <f t="shared" si="61"/>
        <v>3889.3655242004506</v>
      </c>
      <c r="N80" s="275">
        <f t="shared" si="61"/>
        <v>3987.5931115671924</v>
      </c>
      <c r="O80" s="275">
        <f t="shared" si="61"/>
        <v>4085.8206989339342</v>
      </c>
      <c r="P80" s="275">
        <f t="shared" si="61"/>
        <v>4184.0482863006755</v>
      </c>
      <c r="Q80" s="6"/>
      <c r="R80" s="6"/>
      <c r="S80" s="6"/>
      <c r="T80" s="6"/>
      <c r="U80" s="6"/>
      <c r="V80" s="6"/>
      <c r="W80" s="6"/>
      <c r="X80" s="6"/>
      <c r="Y80" s="6"/>
      <c r="Z80" s="6"/>
      <c r="AA80" s="6"/>
      <c r="AB80" s="6"/>
      <c r="AC80" s="6"/>
      <c r="AD80" s="6"/>
      <c r="AE80" s="6"/>
      <c r="AF80" s="6"/>
      <c r="AG80" s="6"/>
      <c r="AH80" s="6"/>
      <c r="AI80" s="6"/>
      <c r="AJ80" s="6"/>
      <c r="AK80" s="6"/>
      <c r="AL80" s="6"/>
      <c r="AM80" s="6"/>
      <c r="AN80" s="6"/>
      <c r="AO80" s="6"/>
      <c r="AP80" s="6"/>
    </row>
    <row r="81" spans="1:42" ht="15.75" x14ac:dyDescent="0.3">
      <c r="A81" s="248" t="s">
        <v>32</v>
      </c>
      <c r="B81" s="278"/>
      <c r="C81" s="278"/>
      <c r="D81" s="278"/>
      <c r="E81" s="278"/>
      <c r="F81" s="278"/>
      <c r="G81" s="279">
        <v>2500</v>
      </c>
      <c r="H81" s="275">
        <f t="shared" ref="H81:P81" si="62">G81+H104</f>
        <v>2574.4148389141983</v>
      </c>
      <c r="I81" s="275">
        <f t="shared" si="62"/>
        <v>2648.8296778283966</v>
      </c>
      <c r="J81" s="275">
        <f t="shared" si="62"/>
        <v>2723.2445167425949</v>
      </c>
      <c r="K81" s="275">
        <f t="shared" si="62"/>
        <v>2797.6593556567932</v>
      </c>
      <c r="L81" s="275">
        <f t="shared" si="62"/>
        <v>2872.0741945709915</v>
      </c>
      <c r="M81" s="275">
        <f t="shared" si="62"/>
        <v>2946.4890334851898</v>
      </c>
      <c r="N81" s="275">
        <f t="shared" si="62"/>
        <v>3020.9038723993881</v>
      </c>
      <c r="O81" s="275">
        <f t="shared" si="62"/>
        <v>3095.3187113135864</v>
      </c>
      <c r="P81" s="275">
        <f t="shared" si="62"/>
        <v>3169.7335502277847</v>
      </c>
      <c r="Q81" s="6"/>
      <c r="R81" s="6"/>
      <c r="S81" s="6"/>
      <c r="T81" s="6"/>
      <c r="U81" s="6"/>
      <c r="V81" s="6"/>
      <c r="W81" s="6"/>
      <c r="X81" s="6"/>
      <c r="Y81" s="6"/>
      <c r="Z81" s="6"/>
      <c r="AA81" s="6"/>
      <c r="AB81" s="6"/>
      <c r="AC81" s="6"/>
      <c r="AD81" s="6"/>
      <c r="AE81" s="6"/>
      <c r="AF81" s="6"/>
      <c r="AG81" s="6"/>
      <c r="AH81" s="6"/>
      <c r="AI81" s="6"/>
      <c r="AJ81" s="6"/>
      <c r="AK81" s="6"/>
      <c r="AL81" s="6"/>
      <c r="AM81" s="6"/>
      <c r="AN81" s="6"/>
      <c r="AO81" s="6"/>
      <c r="AP81" s="6"/>
    </row>
    <row r="82" spans="1:42" ht="15.75" x14ac:dyDescent="0.3">
      <c r="A82" s="284" t="s">
        <v>3</v>
      </c>
      <c r="B82" s="296"/>
      <c r="C82" s="296"/>
      <c r="D82" s="296"/>
      <c r="E82" s="296"/>
      <c r="F82" s="296"/>
      <c r="G82" s="297">
        <f>G83-SUM(G75:G81)</f>
        <v>6330.8999999999942</v>
      </c>
      <c r="H82" s="285">
        <f t="shared" ref="H82:P82" si="63">G82+H105</f>
        <v>6843.7059156820287</v>
      </c>
      <c r="I82" s="285">
        <f t="shared" si="63"/>
        <v>7256.5118313640633</v>
      </c>
      <c r="J82" s="285">
        <f t="shared" si="63"/>
        <v>7460.3724885931206</v>
      </c>
      <c r="K82" s="285">
        <f t="shared" si="63"/>
        <v>7664.2331458221779</v>
      </c>
      <c r="L82" s="285">
        <f t="shared" si="63"/>
        <v>7868.0938030512361</v>
      </c>
      <c r="M82" s="285">
        <f t="shared" si="63"/>
        <v>8071.9544602802944</v>
      </c>
      <c r="N82" s="285">
        <f t="shared" si="63"/>
        <v>8275.8151175093517</v>
      </c>
      <c r="O82" s="285">
        <f t="shared" si="63"/>
        <v>8479.675774738409</v>
      </c>
      <c r="P82" s="285">
        <f t="shared" si="63"/>
        <v>8683.5364319674663</v>
      </c>
      <c r="Q82" s="6"/>
      <c r="R82" s="6"/>
      <c r="S82" s="6"/>
      <c r="T82" s="6"/>
      <c r="U82" s="6"/>
      <c r="V82" s="6"/>
      <c r="W82" s="6"/>
      <c r="X82" s="6"/>
      <c r="Y82" s="6"/>
      <c r="Z82" s="6"/>
      <c r="AA82" s="6"/>
      <c r="AB82" s="6"/>
      <c r="AC82" s="6"/>
      <c r="AD82" s="6"/>
      <c r="AE82" s="6"/>
      <c r="AF82" s="6"/>
      <c r="AG82" s="6"/>
      <c r="AH82" s="6"/>
      <c r="AI82" s="6"/>
      <c r="AJ82" s="6"/>
      <c r="AK82" s="6"/>
      <c r="AL82" s="6"/>
      <c r="AM82" s="6"/>
      <c r="AN82" s="6"/>
      <c r="AO82" s="6"/>
      <c r="AP82" s="6"/>
    </row>
    <row r="83" spans="1:42" ht="15.75" x14ac:dyDescent="0.3">
      <c r="A83" s="248" t="s">
        <v>8</v>
      </c>
      <c r="B83" s="275"/>
      <c r="C83" s="275"/>
      <c r="D83" s="275"/>
      <c r="E83" s="275">
        <f>E129/E117</f>
        <v>64947.794013772698</v>
      </c>
      <c r="F83" s="275">
        <f>F129/F117</f>
        <v>68396.243116255326</v>
      </c>
      <c r="G83" s="279">
        <f>G128*70%</f>
        <v>67190.899999999994</v>
      </c>
      <c r="H83" s="275">
        <f>SUM(H75:H82)</f>
        <v>69190.899999999994</v>
      </c>
      <c r="I83" s="275">
        <f t="shared" ref="I83:P83" si="64">SUM(I75:I82)</f>
        <v>71190.899999999994</v>
      </c>
      <c r="J83" s="275">
        <f t="shared" si="64"/>
        <v>73190.899999999994</v>
      </c>
      <c r="K83" s="275">
        <f t="shared" si="64"/>
        <v>75190.900000000009</v>
      </c>
      <c r="L83" s="275">
        <f t="shared" si="64"/>
        <v>77190.899999999994</v>
      </c>
      <c r="M83" s="275">
        <f t="shared" si="64"/>
        <v>79190.900000000009</v>
      </c>
      <c r="N83" s="275">
        <f t="shared" si="64"/>
        <v>81190.900000000009</v>
      </c>
      <c r="O83" s="275">
        <f t="shared" si="64"/>
        <v>83190.900000000009</v>
      </c>
      <c r="P83" s="275">
        <f t="shared" si="64"/>
        <v>85190.900000000009</v>
      </c>
      <c r="Q83" s="6"/>
      <c r="R83" s="6"/>
      <c r="S83" s="6"/>
      <c r="T83" s="6"/>
      <c r="U83" s="6"/>
      <c r="V83" s="6"/>
      <c r="W83" s="6"/>
      <c r="X83" s="6"/>
      <c r="Y83" s="6"/>
      <c r="Z83" s="6"/>
      <c r="AA83" s="6"/>
      <c r="AB83" s="6"/>
      <c r="AC83" s="6"/>
      <c r="AD83" s="6"/>
      <c r="AE83" s="6"/>
      <c r="AF83" s="6"/>
      <c r="AG83" s="6"/>
      <c r="AH83" s="6"/>
      <c r="AI83" s="6"/>
      <c r="AJ83" s="6"/>
      <c r="AK83" s="6"/>
      <c r="AL83" s="6"/>
      <c r="AM83" s="6"/>
      <c r="AN83" s="6"/>
      <c r="AO83" s="6"/>
      <c r="AP83" s="6"/>
    </row>
    <row r="84" spans="1:42" ht="15.75" x14ac:dyDescent="0.3">
      <c r="A84" s="248" t="s">
        <v>4</v>
      </c>
      <c r="B84" s="275"/>
      <c r="C84" s="275"/>
      <c r="D84" s="275"/>
      <c r="E84" s="275"/>
      <c r="F84" s="275"/>
      <c r="G84" s="275"/>
      <c r="H84" s="275">
        <f>H83-G83</f>
        <v>2000</v>
      </c>
      <c r="I84" s="275">
        <f t="shared" ref="I84:P84" si="65">I83-H83</f>
        <v>2000</v>
      </c>
      <c r="J84" s="275">
        <f t="shared" si="65"/>
        <v>2000</v>
      </c>
      <c r="K84" s="275">
        <f t="shared" si="65"/>
        <v>2000.0000000000146</v>
      </c>
      <c r="L84" s="275">
        <f t="shared" si="65"/>
        <v>1999.9999999999854</v>
      </c>
      <c r="M84" s="275">
        <f t="shared" si="65"/>
        <v>2000.0000000000146</v>
      </c>
      <c r="N84" s="275">
        <f t="shared" si="65"/>
        <v>2000</v>
      </c>
      <c r="O84" s="275">
        <f t="shared" si="65"/>
        <v>2000</v>
      </c>
      <c r="P84" s="275">
        <f t="shared" si="65"/>
        <v>2000</v>
      </c>
      <c r="Q84" s="6"/>
      <c r="R84" s="6"/>
      <c r="S84" s="6"/>
      <c r="T84" s="6"/>
      <c r="U84" s="6"/>
      <c r="V84" s="6"/>
      <c r="W84" s="6"/>
      <c r="X84" s="6"/>
      <c r="Y84" s="21"/>
      <c r="Z84" s="6"/>
      <c r="AA84" s="6"/>
      <c r="AB84" s="6"/>
      <c r="AC84" s="6"/>
      <c r="AD84" s="6"/>
      <c r="AE84" s="6"/>
      <c r="AF84" s="6"/>
      <c r="AG84" s="6"/>
      <c r="AH84" s="6"/>
      <c r="AI84" s="6"/>
      <c r="AJ84" s="6"/>
      <c r="AK84" s="6"/>
      <c r="AL84" s="6"/>
      <c r="AM84" s="6"/>
      <c r="AN84" s="6"/>
      <c r="AO84" s="6"/>
      <c r="AP84" s="6"/>
    </row>
    <row r="85" spans="1:42" ht="15.75" x14ac:dyDescent="0.3">
      <c r="A85" s="248"/>
      <c r="B85" s="275"/>
      <c r="C85" s="275"/>
      <c r="D85" s="275"/>
      <c r="E85" s="275"/>
      <c r="F85" s="275"/>
      <c r="G85" s="275"/>
      <c r="H85" s="275"/>
      <c r="I85" s="275"/>
      <c r="J85" s="275"/>
      <c r="K85" s="275"/>
      <c r="L85" s="275"/>
      <c r="M85" s="275"/>
      <c r="N85" s="275"/>
      <c r="O85" s="275"/>
      <c r="P85" s="275"/>
      <c r="Q85" s="6"/>
      <c r="R85" s="6"/>
      <c r="S85" s="6"/>
      <c r="T85" s="6"/>
      <c r="U85" s="6"/>
      <c r="V85" s="6"/>
      <c r="W85" s="6"/>
      <c r="X85" s="6"/>
      <c r="Y85" s="21"/>
      <c r="Z85" s="6"/>
      <c r="AA85" s="6"/>
      <c r="AB85" s="6"/>
      <c r="AC85" s="6"/>
      <c r="AD85" s="6"/>
      <c r="AE85" s="6"/>
      <c r="AF85" s="6"/>
      <c r="AG85" s="6"/>
      <c r="AH85" s="6"/>
      <c r="AI85" s="6"/>
      <c r="AJ85" s="6"/>
      <c r="AK85" s="6"/>
      <c r="AL85" s="6"/>
      <c r="AM85" s="6"/>
      <c r="AN85" s="6"/>
      <c r="AO85" s="6"/>
      <c r="AP85" s="6"/>
    </row>
    <row r="86" spans="1:42" ht="15.75" x14ac:dyDescent="0.3">
      <c r="A86" s="270" t="s">
        <v>5</v>
      </c>
      <c r="B86" s="284"/>
      <c r="C86" s="284"/>
      <c r="D86" s="284"/>
      <c r="E86" s="284"/>
      <c r="F86" s="284"/>
      <c r="G86" s="284"/>
      <c r="H86" s="284"/>
      <c r="I86" s="284"/>
      <c r="J86" s="284"/>
      <c r="K86" s="284"/>
      <c r="L86" s="284"/>
      <c r="M86" s="284"/>
      <c r="N86" s="284"/>
      <c r="O86" s="284"/>
      <c r="P86" s="284"/>
      <c r="Q86" s="6"/>
      <c r="R86" s="6"/>
      <c r="S86" s="6"/>
      <c r="T86" s="6"/>
      <c r="U86" s="6"/>
      <c r="V86" s="6"/>
      <c r="W86" s="6"/>
      <c r="X86" s="6"/>
      <c r="Y86" s="21"/>
      <c r="Z86" s="6"/>
      <c r="AA86" s="6"/>
      <c r="AB86" s="6"/>
      <c r="AC86" s="6"/>
      <c r="AD86" s="6"/>
      <c r="AE86" s="6"/>
      <c r="AF86" s="6"/>
      <c r="AG86" s="6"/>
      <c r="AH86" s="6"/>
      <c r="AI86" s="6"/>
      <c r="AJ86" s="6"/>
      <c r="AK86" s="6"/>
      <c r="AL86" s="6"/>
      <c r="AM86" s="6"/>
      <c r="AN86" s="6"/>
      <c r="AO86" s="6"/>
      <c r="AP86" s="6"/>
    </row>
    <row r="87" spans="1:42" ht="15.75" x14ac:dyDescent="0.3">
      <c r="A87" s="248" t="s">
        <v>255</v>
      </c>
      <c r="B87" s="292"/>
      <c r="C87" s="292"/>
      <c r="D87" s="292"/>
      <c r="E87" s="292"/>
      <c r="F87" s="292"/>
      <c r="G87" s="292">
        <f t="shared" ref="G87:P87" si="66">G75/G$83</f>
        <v>0.16718037710463771</v>
      </c>
      <c r="H87" s="292">
        <f t="shared" si="66"/>
        <v>0.16249246649487145</v>
      </c>
      <c r="I87" s="292">
        <f t="shared" si="66"/>
        <v>0.15947262922648822</v>
      </c>
      <c r="J87" s="292">
        <f t="shared" si="66"/>
        <v>0.15947262922648825</v>
      </c>
      <c r="K87" s="292">
        <f t="shared" si="66"/>
        <v>0.15947262922648822</v>
      </c>
      <c r="L87" s="292">
        <f t="shared" si="66"/>
        <v>0.15947262922648825</v>
      </c>
      <c r="M87" s="292">
        <f t="shared" si="66"/>
        <v>0.15947262922648825</v>
      </c>
      <c r="N87" s="292">
        <f t="shared" si="66"/>
        <v>0.15947262922648825</v>
      </c>
      <c r="O87" s="292">
        <f t="shared" si="66"/>
        <v>0.15947262922648825</v>
      </c>
      <c r="P87" s="292">
        <f t="shared" si="66"/>
        <v>0.15947262922648828</v>
      </c>
      <c r="Q87" s="6"/>
      <c r="R87" s="6"/>
      <c r="S87" s="6"/>
      <c r="T87" s="6"/>
      <c r="U87" s="6"/>
      <c r="V87" s="6"/>
      <c r="W87" s="6"/>
      <c r="X87" s="6"/>
      <c r="Y87" s="21"/>
      <c r="Z87" s="6"/>
      <c r="AA87" s="6"/>
      <c r="AB87" s="6"/>
      <c r="AC87" s="6"/>
      <c r="AD87" s="6"/>
      <c r="AE87" s="6"/>
      <c r="AF87" s="6"/>
      <c r="AG87" s="6"/>
      <c r="AH87" s="6"/>
      <c r="AI87" s="6"/>
      <c r="AJ87" s="6"/>
      <c r="AK87" s="6"/>
      <c r="AL87" s="6"/>
      <c r="AM87" s="6"/>
      <c r="AN87" s="6"/>
      <c r="AO87" s="6"/>
      <c r="AP87" s="6"/>
    </row>
    <row r="88" spans="1:42" ht="15.75" x14ac:dyDescent="0.3">
      <c r="A88" s="248" t="s">
        <v>2</v>
      </c>
      <c r="B88" s="292"/>
      <c r="C88" s="292"/>
      <c r="D88" s="292"/>
      <c r="E88" s="292"/>
      <c r="F88" s="292"/>
      <c r="G88" s="292">
        <f t="shared" ref="G88:P88" si="67">G76/G$83</f>
        <v>0.34379655578359575</v>
      </c>
      <c r="H88" s="292">
        <f t="shared" si="67"/>
        <v>0.34379655578359575</v>
      </c>
      <c r="I88" s="292">
        <f t="shared" si="67"/>
        <v>0.34379655578359575</v>
      </c>
      <c r="J88" s="292">
        <f t="shared" si="67"/>
        <v>0.34379655578359575</v>
      </c>
      <c r="K88" s="292">
        <f t="shared" si="67"/>
        <v>0.34379655578359569</v>
      </c>
      <c r="L88" s="292">
        <f t="shared" si="67"/>
        <v>0.34379655578359575</v>
      </c>
      <c r="M88" s="292">
        <f t="shared" si="67"/>
        <v>0.34379655578359569</v>
      </c>
      <c r="N88" s="292">
        <f t="shared" si="67"/>
        <v>0.34379655578359569</v>
      </c>
      <c r="O88" s="292">
        <f t="shared" si="67"/>
        <v>0.34379655578359569</v>
      </c>
      <c r="P88" s="292">
        <f t="shared" si="67"/>
        <v>0.34379655578359569</v>
      </c>
      <c r="Q88" s="6"/>
      <c r="R88" s="6"/>
      <c r="S88" s="6"/>
      <c r="T88" s="6"/>
      <c r="U88" s="6"/>
      <c r="V88" s="6"/>
      <c r="W88" s="6"/>
      <c r="X88" s="6"/>
      <c r="Y88" s="21"/>
      <c r="Z88" s="6"/>
      <c r="AA88" s="6"/>
      <c r="AB88" s="6"/>
      <c r="AC88" s="6"/>
      <c r="AD88" s="6"/>
      <c r="AE88" s="6"/>
      <c r="AF88" s="6"/>
      <c r="AG88" s="6"/>
      <c r="AH88" s="6"/>
      <c r="AI88" s="6"/>
      <c r="AJ88" s="6"/>
      <c r="AK88" s="6"/>
      <c r="AL88" s="6"/>
      <c r="AM88" s="6"/>
      <c r="AN88" s="6"/>
      <c r="AO88" s="6"/>
      <c r="AP88" s="6"/>
    </row>
    <row r="89" spans="1:42" ht="15.75" x14ac:dyDescent="0.3">
      <c r="A89" s="248" t="s">
        <v>28</v>
      </c>
      <c r="B89" s="292"/>
      <c r="C89" s="292"/>
      <c r="D89" s="292"/>
      <c r="E89" s="292"/>
      <c r="F89" s="292"/>
      <c r="G89" s="292">
        <f t="shared" ref="G89:P89" si="68">G77/G$83</f>
        <v>0.14699907279110713</v>
      </c>
      <c r="H89" s="292">
        <f t="shared" si="68"/>
        <v>0.14699907279110713</v>
      </c>
      <c r="I89" s="292">
        <f t="shared" si="68"/>
        <v>0.14699907279110713</v>
      </c>
      <c r="J89" s="292">
        <f t="shared" si="68"/>
        <v>0.14699907279110716</v>
      </c>
      <c r="K89" s="292">
        <f t="shared" si="68"/>
        <v>0.14699907279110713</v>
      </c>
      <c r="L89" s="292">
        <f t="shared" si="68"/>
        <v>0.14699907279110716</v>
      </c>
      <c r="M89" s="292">
        <f t="shared" si="68"/>
        <v>0.14699907279110713</v>
      </c>
      <c r="N89" s="292">
        <f t="shared" si="68"/>
        <v>0.14699907279110713</v>
      </c>
      <c r="O89" s="292">
        <f t="shared" si="68"/>
        <v>0.14699907279110713</v>
      </c>
      <c r="P89" s="292">
        <f t="shared" si="68"/>
        <v>0.14699907279110713</v>
      </c>
      <c r="Q89" s="6"/>
      <c r="R89" s="6"/>
      <c r="S89" s="6"/>
      <c r="T89" s="6"/>
      <c r="U89" s="6"/>
      <c r="V89" s="6"/>
      <c r="W89" s="6"/>
      <c r="X89" s="6"/>
      <c r="Y89" s="21"/>
      <c r="Z89" s="6"/>
      <c r="AA89" s="6"/>
      <c r="AB89" s="6"/>
      <c r="AC89" s="6"/>
      <c r="AD89" s="6"/>
      <c r="AE89" s="6"/>
      <c r="AF89" s="6"/>
      <c r="AG89" s="6"/>
      <c r="AH89" s="6"/>
      <c r="AI89" s="6"/>
      <c r="AJ89" s="6"/>
      <c r="AK89" s="6"/>
      <c r="AL89" s="6"/>
      <c r="AM89" s="6"/>
      <c r="AN89" s="6"/>
      <c r="AO89" s="6"/>
      <c r="AP89" s="6"/>
    </row>
    <row r="90" spans="1:42" ht="15.75" x14ac:dyDescent="0.3">
      <c r="A90" s="248" t="s">
        <v>29</v>
      </c>
      <c r="B90" s="292"/>
      <c r="C90" s="292"/>
      <c r="D90" s="292"/>
      <c r="E90" s="292"/>
      <c r="F90" s="292"/>
      <c r="G90" s="292">
        <f t="shared" ref="G90:P90" si="69">G78/G$83</f>
        <v>9.6739290588457677E-2</v>
      </c>
      <c r="H90" s="292">
        <f t="shared" si="69"/>
        <v>9.6739290588457663E-2</v>
      </c>
      <c r="I90" s="292">
        <f t="shared" si="69"/>
        <v>9.6739290588457663E-2</v>
      </c>
      <c r="J90" s="292">
        <f t="shared" si="69"/>
        <v>9.6739290588457663E-2</v>
      </c>
      <c r="K90" s="292">
        <f t="shared" si="69"/>
        <v>9.6739290588457649E-2</v>
      </c>
      <c r="L90" s="292">
        <f t="shared" si="69"/>
        <v>9.6739290588457663E-2</v>
      </c>
      <c r="M90" s="292">
        <f t="shared" si="69"/>
        <v>9.6739290588457649E-2</v>
      </c>
      <c r="N90" s="292">
        <f t="shared" si="69"/>
        <v>9.6739290588457649E-2</v>
      </c>
      <c r="O90" s="292">
        <f t="shared" si="69"/>
        <v>9.6739290588457635E-2</v>
      </c>
      <c r="P90" s="292">
        <f t="shared" si="69"/>
        <v>9.6739290588457649E-2</v>
      </c>
      <c r="Q90" s="6"/>
      <c r="R90" s="6"/>
      <c r="S90" s="6"/>
      <c r="T90" s="6"/>
      <c r="U90" s="6"/>
      <c r="V90" s="6"/>
      <c r="W90" s="6"/>
      <c r="X90" s="6"/>
      <c r="Y90" s="21"/>
      <c r="Z90" s="6"/>
      <c r="AA90" s="6"/>
      <c r="AB90" s="6"/>
      <c r="AC90" s="6"/>
      <c r="AD90" s="6"/>
      <c r="AE90" s="6"/>
      <c r="AF90" s="6"/>
      <c r="AG90" s="6"/>
      <c r="AH90" s="6"/>
      <c r="AI90" s="6"/>
      <c r="AJ90" s="6"/>
      <c r="AK90" s="6"/>
      <c r="AL90" s="6"/>
      <c r="AM90" s="6"/>
      <c r="AN90" s="6"/>
      <c r="AO90" s="6"/>
      <c r="AP90" s="6"/>
    </row>
    <row r="91" spans="1:42" ht="15.75" x14ac:dyDescent="0.3">
      <c r="A91" s="248" t="s">
        <v>30</v>
      </c>
      <c r="B91" s="292"/>
      <c r="C91" s="292"/>
      <c r="D91" s="292"/>
      <c r="E91" s="292"/>
      <c r="F91" s="292"/>
      <c r="G91" s="292">
        <f t="shared" ref="G91:P91" si="70">G79/G$83</f>
        <v>6.4740909855352441E-2</v>
      </c>
      <c r="H91" s="292">
        <f t="shared" si="70"/>
        <v>6.4740909855352441E-2</v>
      </c>
      <c r="I91" s="292">
        <f t="shared" si="70"/>
        <v>6.4740909855352455E-2</v>
      </c>
      <c r="J91" s="292">
        <f t="shared" si="70"/>
        <v>6.4740909855352455E-2</v>
      </c>
      <c r="K91" s="292">
        <f t="shared" si="70"/>
        <v>6.4740909855352441E-2</v>
      </c>
      <c r="L91" s="292">
        <f t="shared" si="70"/>
        <v>6.4740909855352455E-2</v>
      </c>
      <c r="M91" s="292">
        <f t="shared" si="70"/>
        <v>6.4740909855352455E-2</v>
      </c>
      <c r="N91" s="292">
        <f t="shared" si="70"/>
        <v>6.4740909855352455E-2</v>
      </c>
      <c r="O91" s="292">
        <f t="shared" si="70"/>
        <v>6.4740909855352455E-2</v>
      </c>
      <c r="P91" s="292">
        <f t="shared" si="70"/>
        <v>6.4740909855352455E-2</v>
      </c>
      <c r="Q91" s="6"/>
      <c r="R91" s="6"/>
      <c r="S91" s="6"/>
      <c r="T91" s="6"/>
      <c r="U91" s="6"/>
      <c r="V91" s="6"/>
      <c r="W91" s="6"/>
      <c r="X91" s="6"/>
      <c r="Y91" s="21"/>
      <c r="Z91" s="6"/>
      <c r="AA91" s="6"/>
      <c r="AB91" s="6"/>
      <c r="AC91" s="6"/>
      <c r="AD91" s="6"/>
      <c r="AE91" s="6"/>
      <c r="AF91" s="6"/>
      <c r="AG91" s="6"/>
      <c r="AH91" s="6"/>
      <c r="AI91" s="6"/>
      <c r="AJ91" s="6"/>
      <c r="AK91" s="6"/>
      <c r="AL91" s="6"/>
      <c r="AM91" s="6"/>
      <c r="AN91" s="6"/>
      <c r="AO91" s="6"/>
      <c r="AP91" s="6"/>
    </row>
    <row r="92" spans="1:42" ht="15.75" x14ac:dyDescent="0.3">
      <c r="A92" s="248" t="s">
        <v>31</v>
      </c>
      <c r="B92" s="292"/>
      <c r="C92" s="292"/>
      <c r="D92" s="292"/>
      <c r="E92" s="292"/>
      <c r="F92" s="292"/>
      <c r="G92" s="292">
        <f t="shared" ref="G92:P92" si="71">G80/G$83</f>
        <v>4.9113793683370821E-2</v>
      </c>
      <c r="H92" s="292">
        <f t="shared" si="71"/>
        <v>4.9113793683370821E-2</v>
      </c>
      <c r="I92" s="292">
        <f t="shared" si="71"/>
        <v>4.9113793683370821E-2</v>
      </c>
      <c r="J92" s="292">
        <f t="shared" si="71"/>
        <v>4.9113793683370821E-2</v>
      </c>
      <c r="K92" s="292">
        <f t="shared" si="71"/>
        <v>4.9113793683370814E-2</v>
      </c>
      <c r="L92" s="292">
        <f t="shared" si="71"/>
        <v>4.9113793683370828E-2</v>
      </c>
      <c r="M92" s="292">
        <f t="shared" si="71"/>
        <v>4.9113793683370821E-2</v>
      </c>
      <c r="N92" s="292">
        <f t="shared" si="71"/>
        <v>4.9113793683370821E-2</v>
      </c>
      <c r="O92" s="292">
        <f t="shared" si="71"/>
        <v>4.9113793683370821E-2</v>
      </c>
      <c r="P92" s="292">
        <f t="shared" si="71"/>
        <v>4.9113793683370821E-2</v>
      </c>
      <c r="Q92" s="6"/>
      <c r="R92" s="6"/>
      <c r="S92" s="6"/>
      <c r="T92" s="6"/>
      <c r="U92" s="6"/>
      <c r="V92" s="6"/>
      <c r="W92" s="6"/>
      <c r="X92" s="6"/>
      <c r="Y92" s="21"/>
      <c r="Z92" s="6"/>
      <c r="AA92" s="6"/>
      <c r="AB92" s="6"/>
      <c r="AC92" s="6"/>
      <c r="AD92" s="6"/>
      <c r="AE92" s="6"/>
      <c r="AF92" s="6"/>
      <c r="AG92" s="6"/>
      <c r="AH92" s="6"/>
      <c r="AI92" s="6"/>
      <c r="AJ92" s="6"/>
      <c r="AK92" s="6"/>
      <c r="AL92" s="6"/>
      <c r="AM92" s="6"/>
      <c r="AN92" s="6"/>
      <c r="AO92" s="6"/>
      <c r="AP92" s="6"/>
    </row>
    <row r="93" spans="1:42" ht="15.75" x14ac:dyDescent="0.3">
      <c r="A93" s="248" t="s">
        <v>32</v>
      </c>
      <c r="B93" s="292"/>
      <c r="C93" s="292"/>
      <c r="D93" s="292"/>
      <c r="E93" s="292"/>
      <c r="F93" s="292"/>
      <c r="G93" s="292">
        <f t="shared" ref="G93:P93" si="72">G81/G$83</f>
        <v>3.7207419457099107E-2</v>
      </c>
      <c r="H93" s="292">
        <f t="shared" si="72"/>
        <v>3.7207419457099107E-2</v>
      </c>
      <c r="I93" s="292">
        <f t="shared" si="72"/>
        <v>3.7207419457099107E-2</v>
      </c>
      <c r="J93" s="292">
        <f t="shared" si="72"/>
        <v>3.7207419457099107E-2</v>
      </c>
      <c r="K93" s="292">
        <f t="shared" si="72"/>
        <v>3.72074194570991E-2</v>
      </c>
      <c r="L93" s="292">
        <f t="shared" si="72"/>
        <v>3.7207419457099107E-2</v>
      </c>
      <c r="M93" s="292">
        <f t="shared" si="72"/>
        <v>3.7207419457099107E-2</v>
      </c>
      <c r="N93" s="292">
        <f t="shared" si="72"/>
        <v>3.7207419457099107E-2</v>
      </c>
      <c r="O93" s="292">
        <f t="shared" si="72"/>
        <v>3.7207419457099107E-2</v>
      </c>
      <c r="P93" s="292">
        <f t="shared" si="72"/>
        <v>3.7207419457099107E-2</v>
      </c>
      <c r="Q93" s="6"/>
      <c r="R93" s="6"/>
      <c r="S93" s="6"/>
      <c r="T93" s="6"/>
      <c r="U93" s="6"/>
      <c r="V93" s="6"/>
      <c r="W93" s="6"/>
      <c r="X93" s="6"/>
      <c r="Y93" s="21"/>
      <c r="Z93" s="6"/>
      <c r="AA93" s="6"/>
      <c r="AB93" s="6"/>
      <c r="AC93" s="6"/>
      <c r="AD93" s="6"/>
      <c r="AE93" s="6"/>
      <c r="AF93" s="6"/>
      <c r="AG93" s="6"/>
      <c r="AH93" s="6"/>
      <c r="AI93" s="6"/>
      <c r="AJ93" s="6"/>
      <c r="AK93" s="6"/>
      <c r="AL93" s="6"/>
      <c r="AM93" s="6"/>
      <c r="AN93" s="6"/>
      <c r="AO93" s="6"/>
      <c r="AP93" s="6"/>
    </row>
    <row r="94" spans="1:42" ht="15.75" x14ac:dyDescent="0.3">
      <c r="A94" s="284" t="s">
        <v>3</v>
      </c>
      <c r="B94" s="298"/>
      <c r="C94" s="298"/>
      <c r="D94" s="298"/>
      <c r="E94" s="298"/>
      <c r="F94" s="298"/>
      <c r="G94" s="298">
        <f t="shared" ref="G94:P94" si="73">G82/G$83</f>
        <v>9.4222580736379402E-2</v>
      </c>
      <c r="H94" s="298">
        <f t="shared" si="73"/>
        <v>9.8910491346145657E-2</v>
      </c>
      <c r="I94" s="298">
        <f t="shared" si="73"/>
        <v>0.10193032861452887</v>
      </c>
      <c r="J94" s="298">
        <f t="shared" si="73"/>
        <v>0.10193032861452887</v>
      </c>
      <c r="K94" s="298">
        <f t="shared" si="73"/>
        <v>0.10193032861452885</v>
      </c>
      <c r="L94" s="298">
        <f t="shared" si="73"/>
        <v>0.10193032861452887</v>
      </c>
      <c r="M94" s="298">
        <f t="shared" si="73"/>
        <v>0.10193032861452886</v>
      </c>
      <c r="N94" s="298">
        <f t="shared" si="73"/>
        <v>0.10193032861452886</v>
      </c>
      <c r="O94" s="298">
        <f t="shared" si="73"/>
        <v>0.10193032861452885</v>
      </c>
      <c r="P94" s="298">
        <f t="shared" si="73"/>
        <v>0.10193032861452885</v>
      </c>
      <c r="Q94" s="6"/>
      <c r="R94" s="6"/>
      <c r="S94" s="6"/>
      <c r="T94" s="6"/>
      <c r="U94" s="6"/>
      <c r="V94" s="6"/>
      <c r="W94" s="6"/>
      <c r="X94" s="6"/>
      <c r="Y94" s="21"/>
      <c r="Z94" s="6"/>
      <c r="AA94" s="6"/>
      <c r="AB94" s="6"/>
      <c r="AC94" s="6"/>
      <c r="AD94" s="6"/>
      <c r="AE94" s="6"/>
      <c r="AF94" s="6"/>
      <c r="AG94" s="6"/>
      <c r="AH94" s="6"/>
      <c r="AI94" s="6"/>
      <c r="AJ94" s="6"/>
      <c r="AK94" s="6"/>
      <c r="AL94" s="6"/>
      <c r="AM94" s="6"/>
      <c r="AN94" s="6"/>
      <c r="AO94" s="6"/>
      <c r="AP94" s="6"/>
    </row>
    <row r="95" spans="1:42" ht="15.75" x14ac:dyDescent="0.3">
      <c r="A95" s="248" t="s">
        <v>8</v>
      </c>
      <c r="B95" s="292"/>
      <c r="C95" s="292"/>
      <c r="D95" s="292"/>
      <c r="E95" s="292"/>
      <c r="F95" s="292"/>
      <c r="G95" s="292">
        <f>SUM(G87:G94)</f>
        <v>1</v>
      </c>
      <c r="H95" s="292">
        <f t="shared" ref="H95:P95" si="74">SUM(H87:H94)</f>
        <v>1</v>
      </c>
      <c r="I95" s="292">
        <f t="shared" si="74"/>
        <v>1</v>
      </c>
      <c r="J95" s="292">
        <f t="shared" si="74"/>
        <v>1</v>
      </c>
      <c r="K95" s="292">
        <f t="shared" si="74"/>
        <v>0.99999999999999989</v>
      </c>
      <c r="L95" s="292">
        <f t="shared" si="74"/>
        <v>1</v>
      </c>
      <c r="M95" s="292">
        <f t="shared" si="74"/>
        <v>1</v>
      </c>
      <c r="N95" s="292">
        <f t="shared" si="74"/>
        <v>1</v>
      </c>
      <c r="O95" s="292">
        <f t="shared" si="74"/>
        <v>1</v>
      </c>
      <c r="P95" s="292">
        <f t="shared" si="74"/>
        <v>1</v>
      </c>
      <c r="Q95" s="6"/>
      <c r="R95" s="6"/>
      <c r="S95" s="6"/>
      <c r="T95" s="6"/>
      <c r="U95" s="6"/>
      <c r="V95" s="6"/>
      <c r="W95" s="6"/>
      <c r="X95" s="6"/>
      <c r="Y95" s="21"/>
      <c r="Z95" s="6"/>
      <c r="AA95" s="6"/>
      <c r="AB95" s="6"/>
      <c r="AC95" s="6"/>
      <c r="AD95" s="6"/>
      <c r="AE95" s="6"/>
      <c r="AF95" s="6"/>
      <c r="AG95" s="6"/>
      <c r="AH95" s="6"/>
      <c r="AI95" s="6"/>
      <c r="AJ95" s="6"/>
      <c r="AK95" s="6"/>
      <c r="AL95" s="6"/>
      <c r="AM95" s="6"/>
      <c r="AN95" s="6"/>
      <c r="AO95" s="6"/>
      <c r="AP95" s="6"/>
    </row>
    <row r="96" spans="1:42" ht="15.75" x14ac:dyDescent="0.3">
      <c r="A96" s="248"/>
      <c r="B96" s="275"/>
      <c r="C96" s="275"/>
      <c r="D96" s="275"/>
      <c r="E96" s="275"/>
      <c r="F96" s="275"/>
      <c r="G96" s="275"/>
      <c r="H96" s="275"/>
      <c r="I96" s="275"/>
      <c r="J96" s="275"/>
      <c r="K96" s="275"/>
      <c r="L96" s="275"/>
      <c r="M96" s="275"/>
      <c r="N96" s="275"/>
      <c r="O96" s="275"/>
      <c r="P96" s="275"/>
      <c r="Q96" s="6"/>
      <c r="R96" s="6"/>
      <c r="S96" s="6"/>
      <c r="T96" s="6"/>
      <c r="U96" s="6"/>
      <c r="V96" s="6"/>
      <c r="W96" s="6"/>
      <c r="X96" s="6"/>
      <c r="Y96" s="21"/>
      <c r="Z96" s="6"/>
      <c r="AA96" s="6"/>
      <c r="AB96" s="6"/>
      <c r="AC96" s="6"/>
      <c r="AD96" s="6"/>
      <c r="AE96" s="6"/>
      <c r="AF96" s="6"/>
      <c r="AG96" s="6"/>
      <c r="AH96" s="6"/>
      <c r="AI96" s="6"/>
      <c r="AJ96" s="6"/>
      <c r="AK96" s="6"/>
      <c r="AL96" s="6"/>
      <c r="AM96" s="6"/>
      <c r="AN96" s="6"/>
      <c r="AO96" s="6"/>
      <c r="AP96" s="6"/>
    </row>
    <row r="97" spans="1:42" ht="15.75" x14ac:dyDescent="0.3">
      <c r="A97" s="270" t="s">
        <v>90</v>
      </c>
      <c r="B97" s="285"/>
      <c r="C97" s="285"/>
      <c r="D97" s="285"/>
      <c r="E97" s="285"/>
      <c r="F97" s="285"/>
      <c r="G97" s="284"/>
      <c r="H97" s="291"/>
      <c r="I97" s="291"/>
      <c r="J97" s="291"/>
      <c r="K97" s="291"/>
      <c r="L97" s="291"/>
      <c r="M97" s="291"/>
      <c r="N97" s="291"/>
      <c r="O97" s="291"/>
      <c r="P97" s="291"/>
      <c r="Q97" s="6"/>
      <c r="R97" s="6"/>
      <c r="S97" s="6"/>
      <c r="T97" s="6"/>
      <c r="U97" s="6"/>
      <c r="V97" s="6"/>
      <c r="W97" s="6"/>
      <c r="X97" s="6"/>
      <c r="Y97" s="21"/>
      <c r="Z97" s="6"/>
      <c r="AA97" s="6"/>
      <c r="AB97" s="6"/>
      <c r="AC97" s="6"/>
      <c r="AD97" s="6"/>
      <c r="AE97" s="6"/>
      <c r="AF97" s="6"/>
      <c r="AG97" s="6"/>
      <c r="AH97" s="6"/>
      <c r="AI97" s="6"/>
      <c r="AJ97" s="6"/>
      <c r="AK97" s="6"/>
      <c r="AL97" s="6"/>
      <c r="AM97" s="6"/>
      <c r="AN97" s="6"/>
      <c r="AO97" s="6"/>
      <c r="AP97" s="6"/>
    </row>
    <row r="98" spans="1:42" ht="15.75" x14ac:dyDescent="0.3">
      <c r="A98" s="248" t="s">
        <v>1</v>
      </c>
      <c r="B98" s="275"/>
      <c r="C98" s="275"/>
      <c r="D98" s="275"/>
      <c r="E98" s="275"/>
      <c r="F98" s="275"/>
      <c r="G98" s="248"/>
      <c r="H98" s="275">
        <f>H75-G75</f>
        <v>10</v>
      </c>
      <c r="I98" s="288">
        <v>110</v>
      </c>
      <c r="J98" s="288">
        <f t="shared" ref="J98:P98" si="75">I87*J$106</f>
        <v>318.94525845297642</v>
      </c>
      <c r="K98" s="288">
        <f t="shared" si="75"/>
        <v>318.94525845297647</v>
      </c>
      <c r="L98" s="288">
        <f t="shared" si="75"/>
        <v>318.94525845297642</v>
      </c>
      <c r="M98" s="288">
        <f t="shared" si="75"/>
        <v>318.94525845297647</v>
      </c>
      <c r="N98" s="288">
        <f t="shared" si="75"/>
        <v>318.94525845297647</v>
      </c>
      <c r="O98" s="288">
        <f t="shared" si="75"/>
        <v>318.94525845297647</v>
      </c>
      <c r="P98" s="288">
        <f t="shared" si="75"/>
        <v>318.94525845297647</v>
      </c>
      <c r="Q98" s="6"/>
      <c r="R98" s="6"/>
      <c r="S98" s="6"/>
      <c r="T98" s="6"/>
      <c r="U98" s="6"/>
      <c r="V98" s="6"/>
      <c r="W98" s="6"/>
      <c r="X98" s="6"/>
      <c r="Y98" s="21"/>
      <c r="Z98" s="6"/>
      <c r="AA98" s="6"/>
      <c r="AB98" s="6"/>
      <c r="AC98" s="6"/>
      <c r="AD98" s="6"/>
      <c r="AE98" s="6"/>
      <c r="AF98" s="6"/>
      <c r="AG98" s="6"/>
      <c r="AH98" s="6"/>
      <c r="AI98" s="6"/>
      <c r="AJ98" s="6"/>
      <c r="AK98" s="6"/>
      <c r="AL98" s="6"/>
      <c r="AM98" s="6"/>
      <c r="AN98" s="6"/>
      <c r="AO98" s="6"/>
      <c r="AP98" s="6"/>
    </row>
    <row r="99" spans="1:42" ht="15.75" x14ac:dyDescent="0.3">
      <c r="A99" s="248" t="s">
        <v>2</v>
      </c>
      <c r="B99" s="275"/>
      <c r="C99" s="275"/>
      <c r="D99" s="275"/>
      <c r="E99" s="275"/>
      <c r="F99" s="275"/>
      <c r="G99" s="248"/>
      <c r="H99" s="288">
        <f t="shared" ref="H99:P104" si="76">G88*H$106</f>
        <v>687.5931115671915</v>
      </c>
      <c r="I99" s="288">
        <f t="shared" si="76"/>
        <v>687.5931115671915</v>
      </c>
      <c r="J99" s="288">
        <f t="shared" si="76"/>
        <v>687.5931115671915</v>
      </c>
      <c r="K99" s="288">
        <f t="shared" si="76"/>
        <v>687.5931115671915</v>
      </c>
      <c r="L99" s="288">
        <f t="shared" si="76"/>
        <v>687.59311156719139</v>
      </c>
      <c r="M99" s="288">
        <f t="shared" si="76"/>
        <v>687.5931115671915</v>
      </c>
      <c r="N99" s="288">
        <f t="shared" si="76"/>
        <v>687.59311156719139</v>
      </c>
      <c r="O99" s="288">
        <f t="shared" si="76"/>
        <v>687.59311156719139</v>
      </c>
      <c r="P99" s="288">
        <f t="shared" si="76"/>
        <v>687.59311156719139</v>
      </c>
      <c r="Q99" s="6"/>
      <c r="R99" s="6"/>
      <c r="S99" s="6"/>
      <c r="T99" s="6"/>
      <c r="U99" s="6"/>
      <c r="V99" s="6"/>
      <c r="W99" s="6"/>
      <c r="X99" s="6"/>
      <c r="Y99" s="21"/>
      <c r="Z99" s="6"/>
      <c r="AA99" s="6"/>
      <c r="AB99" s="6"/>
      <c r="AC99" s="6"/>
      <c r="AD99" s="6"/>
      <c r="AE99" s="6"/>
      <c r="AF99" s="6"/>
      <c r="AG99" s="6"/>
      <c r="AH99" s="6"/>
      <c r="AI99" s="6"/>
      <c r="AJ99" s="6"/>
      <c r="AK99" s="6"/>
      <c r="AL99" s="6"/>
      <c r="AM99" s="6"/>
      <c r="AN99" s="6"/>
      <c r="AO99" s="6"/>
      <c r="AP99" s="6"/>
    </row>
    <row r="100" spans="1:42" ht="15.75" x14ac:dyDescent="0.3">
      <c r="A100" s="248" t="s">
        <v>28</v>
      </c>
      <c r="B100" s="275"/>
      <c r="C100" s="275"/>
      <c r="D100" s="275"/>
      <c r="E100" s="275"/>
      <c r="F100" s="275"/>
      <c r="G100" s="248"/>
      <c r="H100" s="288">
        <f t="shared" si="76"/>
        <v>293.99814558221425</v>
      </c>
      <c r="I100" s="288">
        <f t="shared" si="76"/>
        <v>293.99814558221425</v>
      </c>
      <c r="J100" s="288">
        <f t="shared" si="76"/>
        <v>293.99814558221425</v>
      </c>
      <c r="K100" s="288">
        <f t="shared" si="76"/>
        <v>293.99814558221431</v>
      </c>
      <c r="L100" s="288">
        <f t="shared" si="76"/>
        <v>293.99814558221425</v>
      </c>
      <c r="M100" s="288">
        <f t="shared" si="76"/>
        <v>293.99814558221431</v>
      </c>
      <c r="N100" s="288">
        <f t="shared" si="76"/>
        <v>293.99814558221425</v>
      </c>
      <c r="O100" s="288">
        <f t="shared" si="76"/>
        <v>293.99814558221425</v>
      </c>
      <c r="P100" s="288">
        <f t="shared" si="76"/>
        <v>293.99814558221425</v>
      </c>
      <c r="Q100" s="6"/>
      <c r="R100" s="6"/>
      <c r="S100" s="6"/>
      <c r="T100" s="6"/>
      <c r="U100" s="6"/>
      <c r="V100" s="6"/>
      <c r="W100" s="6"/>
      <c r="X100" s="6"/>
      <c r="Y100" s="21"/>
      <c r="Z100" s="6"/>
      <c r="AA100" s="6"/>
      <c r="AB100" s="6"/>
      <c r="AC100" s="6"/>
      <c r="AD100" s="6"/>
      <c r="AE100" s="6"/>
      <c r="AF100" s="6"/>
      <c r="AG100" s="6"/>
      <c r="AH100" s="6"/>
      <c r="AI100" s="6"/>
      <c r="AJ100" s="6"/>
      <c r="AK100" s="6"/>
      <c r="AL100" s="6"/>
      <c r="AM100" s="6"/>
      <c r="AN100" s="6"/>
      <c r="AO100" s="6"/>
      <c r="AP100" s="6"/>
    </row>
    <row r="101" spans="1:42" ht="15.75" x14ac:dyDescent="0.3">
      <c r="A101" s="248" t="s">
        <v>29</v>
      </c>
      <c r="B101" s="275"/>
      <c r="C101" s="275"/>
      <c r="D101" s="275"/>
      <c r="E101" s="275"/>
      <c r="F101" s="275"/>
      <c r="G101" s="248"/>
      <c r="H101" s="288">
        <f t="shared" si="76"/>
        <v>193.47858117691536</v>
      </c>
      <c r="I101" s="288">
        <f t="shared" si="76"/>
        <v>193.47858117691533</v>
      </c>
      <c r="J101" s="288">
        <f t="shared" si="76"/>
        <v>193.47858117691533</v>
      </c>
      <c r="K101" s="288">
        <f t="shared" si="76"/>
        <v>193.47858117691533</v>
      </c>
      <c r="L101" s="288">
        <f t="shared" si="76"/>
        <v>193.4785811769153</v>
      </c>
      <c r="M101" s="288">
        <f t="shared" si="76"/>
        <v>193.47858117691533</v>
      </c>
      <c r="N101" s="288">
        <f t="shared" si="76"/>
        <v>193.4785811769153</v>
      </c>
      <c r="O101" s="288">
        <f t="shared" si="76"/>
        <v>193.4785811769153</v>
      </c>
      <c r="P101" s="288">
        <f t="shared" si="76"/>
        <v>193.47858117691527</v>
      </c>
      <c r="Q101" s="6"/>
      <c r="R101" s="6"/>
      <c r="S101" s="6"/>
      <c r="T101" s="6"/>
      <c r="U101" s="6"/>
      <c r="V101" s="6"/>
      <c r="W101" s="6"/>
      <c r="X101" s="6"/>
      <c r="Y101" s="21"/>
      <c r="Z101" s="6"/>
      <c r="AA101" s="6"/>
      <c r="AB101" s="6"/>
      <c r="AC101" s="6"/>
      <c r="AD101" s="6"/>
      <c r="AE101" s="6"/>
      <c r="AF101" s="6"/>
      <c r="AG101" s="6"/>
      <c r="AH101" s="6"/>
      <c r="AI101" s="6"/>
      <c r="AJ101" s="6"/>
      <c r="AK101" s="6"/>
      <c r="AL101" s="6"/>
      <c r="AM101" s="6"/>
      <c r="AN101" s="6"/>
      <c r="AO101" s="6"/>
      <c r="AP101" s="6"/>
    </row>
    <row r="102" spans="1:42" ht="15.75" x14ac:dyDescent="0.3">
      <c r="A102" s="248" t="s">
        <v>30</v>
      </c>
      <c r="B102" s="275"/>
      <c r="C102" s="275"/>
      <c r="D102" s="275"/>
      <c r="E102" s="275"/>
      <c r="F102" s="275"/>
      <c r="G102" s="248"/>
      <c r="H102" s="288">
        <f t="shared" si="76"/>
        <v>129.48181971070488</v>
      </c>
      <c r="I102" s="288">
        <f t="shared" si="76"/>
        <v>129.48181971070488</v>
      </c>
      <c r="J102" s="288">
        <f t="shared" si="76"/>
        <v>129.48181971070491</v>
      </c>
      <c r="K102" s="288">
        <f t="shared" si="76"/>
        <v>129.48181971070491</v>
      </c>
      <c r="L102" s="288">
        <f t="shared" si="76"/>
        <v>129.48181971070488</v>
      </c>
      <c r="M102" s="288">
        <f t="shared" si="76"/>
        <v>129.48181971070491</v>
      </c>
      <c r="N102" s="288">
        <f t="shared" si="76"/>
        <v>129.48181971070491</v>
      </c>
      <c r="O102" s="288">
        <f t="shared" si="76"/>
        <v>129.48181971070491</v>
      </c>
      <c r="P102" s="288">
        <f t="shared" si="76"/>
        <v>129.48181971070491</v>
      </c>
      <c r="Q102" s="6"/>
      <c r="R102" s="6"/>
      <c r="S102" s="6"/>
      <c r="T102" s="6"/>
      <c r="U102" s="6"/>
      <c r="V102" s="6"/>
      <c r="W102" s="6"/>
      <c r="X102" s="6"/>
      <c r="Y102" s="21"/>
      <c r="Z102" s="6"/>
      <c r="AA102" s="6"/>
      <c r="AB102" s="6"/>
      <c r="AC102" s="6"/>
      <c r="AD102" s="6"/>
      <c r="AE102" s="6"/>
      <c r="AF102" s="6"/>
      <c r="AG102" s="6"/>
      <c r="AH102" s="6"/>
      <c r="AI102" s="6"/>
      <c r="AJ102" s="6"/>
      <c r="AK102" s="6"/>
      <c r="AL102" s="6"/>
      <c r="AM102" s="6"/>
      <c r="AN102" s="6"/>
      <c r="AO102" s="6"/>
      <c r="AP102" s="6"/>
    </row>
    <row r="103" spans="1:42" ht="15.75" x14ac:dyDescent="0.3">
      <c r="A103" s="248" t="s">
        <v>31</v>
      </c>
      <c r="B103" s="275"/>
      <c r="C103" s="275"/>
      <c r="D103" s="275"/>
      <c r="E103" s="275"/>
      <c r="F103" s="275"/>
      <c r="G103" s="248"/>
      <c r="H103" s="288">
        <f t="shared" si="76"/>
        <v>98.227587366741645</v>
      </c>
      <c r="I103" s="288">
        <f t="shared" si="76"/>
        <v>98.227587366741645</v>
      </c>
      <c r="J103" s="288">
        <f t="shared" si="76"/>
        <v>98.227587366741645</v>
      </c>
      <c r="K103" s="288">
        <f t="shared" si="76"/>
        <v>98.227587366741645</v>
      </c>
      <c r="L103" s="288">
        <f t="shared" si="76"/>
        <v>98.227587366741631</v>
      </c>
      <c r="M103" s="288">
        <f t="shared" si="76"/>
        <v>98.227587366741659</v>
      </c>
      <c r="N103" s="288">
        <f t="shared" si="76"/>
        <v>98.227587366741645</v>
      </c>
      <c r="O103" s="288">
        <f t="shared" si="76"/>
        <v>98.227587366741645</v>
      </c>
      <c r="P103" s="288">
        <f t="shared" si="76"/>
        <v>98.227587366741645</v>
      </c>
      <c r="Q103" s="6"/>
      <c r="R103" s="6"/>
      <c r="S103" s="6"/>
      <c r="T103" s="6"/>
      <c r="U103" s="6"/>
      <c r="V103" s="6"/>
      <c r="W103" s="6"/>
      <c r="X103" s="6"/>
      <c r="Y103" s="21"/>
      <c r="Z103" s="6"/>
      <c r="AA103" s="6"/>
      <c r="AB103" s="6"/>
      <c r="AC103" s="6"/>
      <c r="AD103" s="6"/>
      <c r="AE103" s="6"/>
      <c r="AF103" s="6"/>
      <c r="AG103" s="6"/>
      <c r="AH103" s="6"/>
      <c r="AI103" s="6"/>
      <c r="AJ103" s="6"/>
      <c r="AK103" s="6"/>
      <c r="AL103" s="6"/>
      <c r="AM103" s="6"/>
      <c r="AN103" s="6"/>
      <c r="AO103" s="6"/>
      <c r="AP103" s="6"/>
    </row>
    <row r="104" spans="1:42" ht="15.75" x14ac:dyDescent="0.3">
      <c r="A104" s="248" t="s">
        <v>32</v>
      </c>
      <c r="B104" s="275"/>
      <c r="C104" s="275"/>
      <c r="D104" s="275"/>
      <c r="E104" s="275"/>
      <c r="F104" s="275"/>
      <c r="G104" s="248"/>
      <c r="H104" s="288">
        <f t="shared" si="76"/>
        <v>74.414838914198214</v>
      </c>
      <c r="I104" s="288">
        <f t="shared" si="76"/>
        <v>74.414838914198214</v>
      </c>
      <c r="J104" s="288">
        <f t="shared" si="76"/>
        <v>74.414838914198214</v>
      </c>
      <c r="K104" s="288">
        <f t="shared" si="76"/>
        <v>74.414838914198214</v>
      </c>
      <c r="L104" s="288">
        <f t="shared" si="76"/>
        <v>74.414838914198199</v>
      </c>
      <c r="M104" s="288">
        <f t="shared" si="76"/>
        <v>74.414838914198214</v>
      </c>
      <c r="N104" s="288">
        <f t="shared" si="76"/>
        <v>74.414838914198214</v>
      </c>
      <c r="O104" s="288">
        <f t="shared" si="76"/>
        <v>74.414838914198214</v>
      </c>
      <c r="P104" s="288">
        <f t="shared" si="76"/>
        <v>74.414838914198214</v>
      </c>
      <c r="Q104" s="6"/>
      <c r="R104" s="6"/>
      <c r="S104" s="6"/>
      <c r="T104" s="6"/>
      <c r="U104" s="6"/>
      <c r="V104" s="6"/>
      <c r="W104" s="6"/>
      <c r="X104" s="6"/>
      <c r="Y104" s="21"/>
      <c r="Z104" s="6"/>
      <c r="AA104" s="6"/>
      <c r="AB104" s="6"/>
      <c r="AC104" s="6"/>
      <c r="AD104" s="6"/>
      <c r="AE104" s="6"/>
      <c r="AF104" s="6"/>
      <c r="AG104" s="6"/>
      <c r="AH104" s="6"/>
      <c r="AI104" s="6"/>
      <c r="AJ104" s="6"/>
      <c r="AK104" s="6"/>
      <c r="AL104" s="6"/>
      <c r="AM104" s="6"/>
      <c r="AN104" s="6"/>
      <c r="AO104" s="6"/>
      <c r="AP104" s="6"/>
    </row>
    <row r="105" spans="1:42" ht="15.75" x14ac:dyDescent="0.3">
      <c r="A105" s="284" t="s">
        <v>3</v>
      </c>
      <c r="B105" s="285"/>
      <c r="C105" s="285"/>
      <c r="D105" s="285"/>
      <c r="E105" s="285"/>
      <c r="F105" s="285"/>
      <c r="G105" s="284"/>
      <c r="H105" s="299">
        <f>H106-SUM(H98:H104)</f>
        <v>512.80591568203408</v>
      </c>
      <c r="I105" s="299">
        <f t="shared" ref="I105:P105" si="77">I106-SUM(I98:I104)</f>
        <v>412.80591568203408</v>
      </c>
      <c r="J105" s="299">
        <f t="shared" si="77"/>
        <v>203.86065722905778</v>
      </c>
      <c r="K105" s="299">
        <f t="shared" si="77"/>
        <v>203.86065722905778</v>
      </c>
      <c r="L105" s="299">
        <f t="shared" si="77"/>
        <v>203.86065722905801</v>
      </c>
      <c r="M105" s="299">
        <f t="shared" si="77"/>
        <v>203.86065722905778</v>
      </c>
      <c r="N105" s="299">
        <f t="shared" si="77"/>
        <v>203.86065722905801</v>
      </c>
      <c r="O105" s="299">
        <f t="shared" si="77"/>
        <v>203.86065722905801</v>
      </c>
      <c r="P105" s="299">
        <f t="shared" si="77"/>
        <v>203.86065722905801</v>
      </c>
      <c r="Q105" s="6"/>
      <c r="R105" s="6"/>
      <c r="S105" s="6"/>
      <c r="T105" s="6"/>
      <c r="U105" s="6"/>
      <c r="V105" s="6"/>
      <c r="W105" s="6"/>
      <c r="X105" s="6"/>
      <c r="Y105" s="21"/>
      <c r="Z105" s="6"/>
      <c r="AA105" s="6"/>
      <c r="AB105" s="6"/>
      <c r="AC105" s="6"/>
      <c r="AD105" s="6"/>
      <c r="AE105" s="6"/>
      <c r="AF105" s="6"/>
      <c r="AG105" s="6"/>
      <c r="AH105" s="6"/>
      <c r="AI105" s="6"/>
      <c r="AJ105" s="6"/>
      <c r="AK105" s="6"/>
      <c r="AL105" s="6"/>
      <c r="AM105" s="6"/>
      <c r="AN105" s="6"/>
      <c r="AO105" s="6"/>
      <c r="AP105" s="6"/>
    </row>
    <row r="106" spans="1:42" ht="15.75" x14ac:dyDescent="0.3">
      <c r="A106" s="248" t="s">
        <v>8</v>
      </c>
      <c r="B106" s="275"/>
      <c r="C106" s="275"/>
      <c r="D106" s="275"/>
      <c r="E106" s="275"/>
      <c r="F106" s="275"/>
      <c r="G106" s="248"/>
      <c r="H106" s="289">
        <v>2000</v>
      </c>
      <c r="I106" s="289">
        <v>2000</v>
      </c>
      <c r="J106" s="289">
        <v>2000</v>
      </c>
      <c r="K106" s="289">
        <v>2000</v>
      </c>
      <c r="L106" s="289">
        <v>2000</v>
      </c>
      <c r="M106" s="289">
        <v>2000</v>
      </c>
      <c r="N106" s="289">
        <v>2000</v>
      </c>
      <c r="O106" s="289">
        <v>2000</v>
      </c>
      <c r="P106" s="289">
        <v>2000</v>
      </c>
      <c r="Q106" s="6"/>
      <c r="R106" s="6"/>
      <c r="S106" s="6"/>
      <c r="T106" s="6"/>
      <c r="U106" s="6"/>
      <c r="V106" s="6"/>
      <c r="W106" s="6"/>
      <c r="X106" s="6"/>
      <c r="Y106" s="21"/>
      <c r="Z106" s="6"/>
      <c r="AA106" s="6"/>
      <c r="AB106" s="6"/>
      <c r="AC106" s="6"/>
      <c r="AD106" s="6"/>
      <c r="AE106" s="6"/>
      <c r="AF106" s="6"/>
      <c r="AG106" s="6"/>
      <c r="AH106" s="6"/>
      <c r="AI106" s="6"/>
      <c r="AJ106" s="6"/>
      <c r="AK106" s="6"/>
      <c r="AL106" s="6"/>
      <c r="AM106" s="6"/>
      <c r="AN106" s="6"/>
      <c r="AO106" s="6"/>
      <c r="AP106" s="6"/>
    </row>
    <row r="107" spans="1:42" ht="15.75" x14ac:dyDescent="0.3">
      <c r="A107" s="248"/>
      <c r="B107" s="275"/>
      <c r="C107" s="275"/>
      <c r="D107" s="275"/>
      <c r="E107" s="275"/>
      <c r="F107" s="275"/>
      <c r="G107" s="275"/>
      <c r="H107" s="275"/>
      <c r="I107" s="275"/>
      <c r="J107" s="275"/>
      <c r="K107" s="275"/>
      <c r="L107" s="275"/>
      <c r="M107" s="275"/>
      <c r="N107" s="275"/>
      <c r="O107" s="275"/>
      <c r="P107" s="275"/>
      <c r="Q107" s="6"/>
      <c r="R107" s="6"/>
      <c r="S107" s="6"/>
      <c r="T107" s="6"/>
      <c r="U107" s="6"/>
      <c r="V107" s="6"/>
      <c r="W107" s="6"/>
      <c r="X107" s="6"/>
      <c r="Y107" s="21"/>
      <c r="Z107" s="6"/>
      <c r="AA107" s="6"/>
      <c r="AB107" s="6"/>
      <c r="AC107" s="6"/>
      <c r="AD107" s="6"/>
      <c r="AE107" s="6"/>
      <c r="AF107" s="6"/>
      <c r="AG107" s="6"/>
      <c r="AH107" s="6"/>
      <c r="AI107" s="6"/>
      <c r="AJ107" s="6"/>
      <c r="AK107" s="6"/>
      <c r="AL107" s="6"/>
      <c r="AM107" s="6"/>
      <c r="AN107" s="6"/>
      <c r="AO107" s="6"/>
      <c r="AP107" s="6"/>
    </row>
    <row r="108" spans="1:42" ht="15.75" x14ac:dyDescent="0.3">
      <c r="A108" s="270" t="s">
        <v>91</v>
      </c>
      <c r="B108" s="284"/>
      <c r="C108" s="284"/>
      <c r="D108" s="284"/>
      <c r="E108" s="284"/>
      <c r="F108" s="284"/>
      <c r="G108" s="284"/>
      <c r="H108" s="284"/>
      <c r="I108" s="284"/>
      <c r="J108" s="284"/>
      <c r="K108" s="284"/>
      <c r="L108" s="284"/>
      <c r="M108" s="284"/>
      <c r="N108" s="284"/>
      <c r="O108" s="284"/>
      <c r="P108" s="284"/>
      <c r="Q108" s="6"/>
      <c r="R108" s="6"/>
      <c r="S108" s="6"/>
      <c r="T108" s="6"/>
      <c r="U108" s="6"/>
      <c r="V108" s="6"/>
      <c r="W108" s="6"/>
      <c r="X108" s="6"/>
      <c r="Y108" s="21"/>
      <c r="Z108" s="6"/>
      <c r="AA108" s="6"/>
      <c r="AB108" s="6"/>
      <c r="AC108" s="6"/>
      <c r="AD108" s="6"/>
      <c r="AE108" s="6"/>
      <c r="AF108" s="6"/>
      <c r="AG108" s="6"/>
      <c r="AH108" s="6"/>
      <c r="AI108" s="6"/>
      <c r="AJ108" s="6"/>
      <c r="AK108" s="6"/>
      <c r="AL108" s="6"/>
      <c r="AM108" s="6"/>
      <c r="AN108" s="6"/>
      <c r="AO108" s="6"/>
      <c r="AP108" s="6"/>
    </row>
    <row r="109" spans="1:42" ht="15.75" x14ac:dyDescent="0.3">
      <c r="A109" s="248" t="s">
        <v>1</v>
      </c>
      <c r="B109" s="293"/>
      <c r="C109" s="293"/>
      <c r="D109" s="293"/>
      <c r="E109" s="293"/>
      <c r="F109" s="293"/>
      <c r="G109" s="300">
        <v>1.26</v>
      </c>
      <c r="H109" s="300">
        <v>1.34</v>
      </c>
      <c r="I109" s="294">
        <v>1.3</v>
      </c>
      <c r="J109" s="294">
        <f t="shared" ref="J109:P109" si="78">I109+0.01</f>
        <v>1.31</v>
      </c>
      <c r="K109" s="294">
        <f t="shared" si="78"/>
        <v>1.32</v>
      </c>
      <c r="L109" s="294">
        <f t="shared" si="78"/>
        <v>1.33</v>
      </c>
      <c r="M109" s="294">
        <f t="shared" si="78"/>
        <v>1.34</v>
      </c>
      <c r="N109" s="294">
        <f t="shared" si="78"/>
        <v>1.35</v>
      </c>
      <c r="O109" s="294">
        <f t="shared" si="78"/>
        <v>1.36</v>
      </c>
      <c r="P109" s="294">
        <f t="shared" si="78"/>
        <v>1.37</v>
      </c>
      <c r="Q109" s="6"/>
      <c r="R109" s="6"/>
      <c r="S109" s="6"/>
      <c r="T109" s="6"/>
      <c r="U109" s="6"/>
      <c r="V109" s="6"/>
      <c r="W109" s="6"/>
      <c r="X109" s="6"/>
      <c r="Y109" s="21"/>
      <c r="Z109" s="6"/>
      <c r="AA109" s="6"/>
      <c r="AB109" s="6"/>
      <c r="AC109" s="6"/>
      <c r="AD109" s="6"/>
      <c r="AE109" s="6"/>
      <c r="AF109" s="6"/>
      <c r="AG109" s="6"/>
      <c r="AH109" s="6"/>
      <c r="AI109" s="6"/>
      <c r="AJ109" s="6"/>
      <c r="AK109" s="6"/>
      <c r="AL109" s="6"/>
      <c r="AM109" s="6"/>
      <c r="AN109" s="6"/>
      <c r="AO109" s="6"/>
      <c r="AP109" s="6"/>
    </row>
    <row r="110" spans="1:42" ht="15.75" x14ac:dyDescent="0.3">
      <c r="A110" s="248" t="s">
        <v>2</v>
      </c>
      <c r="B110" s="293"/>
      <c r="C110" s="293"/>
      <c r="D110" s="293"/>
      <c r="E110" s="293"/>
      <c r="F110" s="293"/>
      <c r="G110" s="300">
        <v>1.5</v>
      </c>
      <c r="H110" s="294">
        <f>G110+0.04</f>
        <v>1.54</v>
      </c>
      <c r="I110" s="294">
        <f t="shared" ref="I110:P110" si="79">H110+0.04</f>
        <v>1.58</v>
      </c>
      <c r="J110" s="294">
        <f t="shared" si="79"/>
        <v>1.62</v>
      </c>
      <c r="K110" s="294">
        <f t="shared" si="79"/>
        <v>1.6600000000000001</v>
      </c>
      <c r="L110" s="294">
        <f t="shared" si="79"/>
        <v>1.7000000000000002</v>
      </c>
      <c r="M110" s="294">
        <f t="shared" si="79"/>
        <v>1.7400000000000002</v>
      </c>
      <c r="N110" s="294">
        <f t="shared" si="79"/>
        <v>1.7800000000000002</v>
      </c>
      <c r="O110" s="294">
        <f t="shared" si="79"/>
        <v>1.8200000000000003</v>
      </c>
      <c r="P110" s="294">
        <f t="shared" si="79"/>
        <v>1.8600000000000003</v>
      </c>
      <c r="Q110" s="6"/>
      <c r="R110" s="6"/>
      <c r="S110" s="6"/>
      <c r="T110" s="6"/>
      <c r="U110" s="6"/>
      <c r="V110" s="6"/>
      <c r="W110" s="6"/>
      <c r="X110" s="6"/>
      <c r="Y110" s="21"/>
      <c r="Z110" s="6"/>
      <c r="AA110" s="6"/>
      <c r="AB110" s="6"/>
      <c r="AC110" s="6"/>
      <c r="AD110" s="6"/>
      <c r="AE110" s="6"/>
      <c r="AF110" s="6"/>
      <c r="AG110" s="6"/>
      <c r="AH110" s="6"/>
      <c r="AI110" s="6"/>
      <c r="AJ110" s="6"/>
      <c r="AK110" s="6"/>
      <c r="AL110" s="6"/>
      <c r="AM110" s="6"/>
      <c r="AN110" s="6"/>
      <c r="AO110" s="6"/>
      <c r="AP110" s="6"/>
    </row>
    <row r="111" spans="1:42" ht="15.75" x14ac:dyDescent="0.3">
      <c r="A111" s="248" t="s">
        <v>28</v>
      </c>
      <c r="B111" s="301"/>
      <c r="C111" s="301"/>
      <c r="D111" s="301"/>
      <c r="E111" s="301"/>
      <c r="F111" s="301"/>
      <c r="G111" s="300">
        <v>1.5</v>
      </c>
      <c r="H111" s="294">
        <f>G111+0.04</f>
        <v>1.54</v>
      </c>
      <c r="I111" s="294">
        <f t="shared" ref="I111:P111" si="80">H111+0.04</f>
        <v>1.58</v>
      </c>
      <c r="J111" s="294">
        <f t="shared" si="80"/>
        <v>1.62</v>
      </c>
      <c r="K111" s="294">
        <f t="shared" si="80"/>
        <v>1.6600000000000001</v>
      </c>
      <c r="L111" s="294">
        <f t="shared" si="80"/>
        <v>1.7000000000000002</v>
      </c>
      <c r="M111" s="294">
        <f t="shared" si="80"/>
        <v>1.7400000000000002</v>
      </c>
      <c r="N111" s="294">
        <f t="shared" si="80"/>
        <v>1.7800000000000002</v>
      </c>
      <c r="O111" s="294">
        <f t="shared" si="80"/>
        <v>1.8200000000000003</v>
      </c>
      <c r="P111" s="294">
        <f t="shared" si="80"/>
        <v>1.8600000000000003</v>
      </c>
      <c r="Q111" s="6"/>
      <c r="R111" s="6"/>
      <c r="S111" s="6"/>
      <c r="T111" s="6"/>
      <c r="U111" s="6"/>
      <c r="V111" s="6"/>
      <c r="W111" s="6"/>
      <c r="X111" s="6"/>
      <c r="Y111" s="21"/>
      <c r="Z111" s="6"/>
      <c r="AA111" s="6"/>
      <c r="AB111" s="6"/>
      <c r="AC111" s="6"/>
      <c r="AD111" s="6"/>
      <c r="AE111" s="6"/>
      <c r="AF111" s="6"/>
      <c r="AG111" s="6"/>
      <c r="AH111" s="6"/>
      <c r="AI111" s="6"/>
      <c r="AJ111" s="6"/>
      <c r="AK111" s="6"/>
      <c r="AL111" s="6"/>
      <c r="AM111" s="6"/>
      <c r="AN111" s="6"/>
      <c r="AO111" s="6"/>
      <c r="AP111" s="6"/>
    </row>
    <row r="112" spans="1:42" ht="15.75" x14ac:dyDescent="0.3">
      <c r="A112" s="248" t="s">
        <v>29</v>
      </c>
      <c r="B112" s="293"/>
      <c r="C112" s="293"/>
      <c r="D112" s="293"/>
      <c r="E112" s="293"/>
      <c r="F112" s="293"/>
      <c r="G112" s="300">
        <v>1.5</v>
      </c>
      <c r="H112" s="294">
        <f>G112+0.02</f>
        <v>1.52</v>
      </c>
      <c r="I112" s="294">
        <f t="shared" ref="I112:P114" si="81">H112+0.02</f>
        <v>1.54</v>
      </c>
      <c r="J112" s="294">
        <f t="shared" si="81"/>
        <v>1.56</v>
      </c>
      <c r="K112" s="294">
        <f t="shared" si="81"/>
        <v>1.58</v>
      </c>
      <c r="L112" s="294">
        <f t="shared" si="81"/>
        <v>1.6</v>
      </c>
      <c r="M112" s="294">
        <f t="shared" si="81"/>
        <v>1.62</v>
      </c>
      <c r="N112" s="294">
        <f t="shared" si="81"/>
        <v>1.6400000000000001</v>
      </c>
      <c r="O112" s="294">
        <f t="shared" si="81"/>
        <v>1.6600000000000001</v>
      </c>
      <c r="P112" s="294">
        <f t="shared" si="81"/>
        <v>1.6800000000000002</v>
      </c>
      <c r="Q112" s="6"/>
      <c r="R112" s="6"/>
      <c r="S112" s="6"/>
      <c r="T112" s="6"/>
      <c r="U112" s="6"/>
      <c r="V112" s="6"/>
      <c r="W112" s="6"/>
      <c r="X112" s="6"/>
      <c r="Y112" s="21"/>
      <c r="Z112" s="6"/>
      <c r="AA112" s="6"/>
      <c r="AB112" s="6"/>
      <c r="AC112" s="6"/>
      <c r="AD112" s="6"/>
      <c r="AE112" s="6"/>
      <c r="AF112" s="6"/>
      <c r="AG112" s="6"/>
      <c r="AH112" s="6"/>
      <c r="AI112" s="6"/>
      <c r="AJ112" s="6"/>
      <c r="AK112" s="6"/>
      <c r="AL112" s="6"/>
      <c r="AM112" s="6"/>
      <c r="AN112" s="6"/>
      <c r="AO112" s="6"/>
      <c r="AP112" s="6"/>
    </row>
    <row r="113" spans="1:42" ht="15.75" x14ac:dyDescent="0.3">
      <c r="A113" s="248" t="s">
        <v>30</v>
      </c>
      <c r="B113" s="293"/>
      <c r="C113" s="293"/>
      <c r="D113" s="293"/>
      <c r="E113" s="293"/>
      <c r="F113" s="293"/>
      <c r="G113" s="300">
        <v>1.5</v>
      </c>
      <c r="H113" s="294">
        <f>G113+0.02</f>
        <v>1.52</v>
      </c>
      <c r="I113" s="294">
        <f t="shared" si="81"/>
        <v>1.54</v>
      </c>
      <c r="J113" s="294">
        <f t="shared" si="81"/>
        <v>1.56</v>
      </c>
      <c r="K113" s="294">
        <f t="shared" si="81"/>
        <v>1.58</v>
      </c>
      <c r="L113" s="294">
        <f t="shared" si="81"/>
        <v>1.6</v>
      </c>
      <c r="M113" s="294">
        <f t="shared" si="81"/>
        <v>1.62</v>
      </c>
      <c r="N113" s="294">
        <f t="shared" si="81"/>
        <v>1.6400000000000001</v>
      </c>
      <c r="O113" s="294">
        <f t="shared" si="81"/>
        <v>1.6600000000000001</v>
      </c>
      <c r="P113" s="294">
        <f t="shared" si="81"/>
        <v>1.6800000000000002</v>
      </c>
      <c r="Q113" s="6"/>
      <c r="R113" s="6"/>
      <c r="S113" s="6"/>
      <c r="T113" s="6"/>
      <c r="U113" s="6"/>
      <c r="V113" s="6"/>
      <c r="W113" s="6"/>
      <c r="X113" s="6"/>
      <c r="Y113" s="21"/>
      <c r="Z113" s="6"/>
      <c r="AA113" s="6"/>
      <c r="AB113" s="6"/>
      <c r="AC113" s="6"/>
      <c r="AD113" s="6"/>
      <c r="AE113" s="6"/>
      <c r="AF113" s="6"/>
      <c r="AG113" s="6"/>
      <c r="AH113" s="6"/>
      <c r="AI113" s="6"/>
      <c r="AJ113" s="6"/>
      <c r="AK113" s="6"/>
      <c r="AL113" s="6"/>
      <c r="AM113" s="6"/>
      <c r="AN113" s="6"/>
      <c r="AO113" s="6"/>
      <c r="AP113" s="6"/>
    </row>
    <row r="114" spans="1:42" ht="15.75" x14ac:dyDescent="0.3">
      <c r="A114" s="248" t="s">
        <v>31</v>
      </c>
      <c r="B114" s="293"/>
      <c r="C114" s="293"/>
      <c r="D114" s="293"/>
      <c r="E114" s="293"/>
      <c r="F114" s="293"/>
      <c r="G114" s="300">
        <v>1.5</v>
      </c>
      <c r="H114" s="294">
        <f>G114+0.02</f>
        <v>1.52</v>
      </c>
      <c r="I114" s="294">
        <f t="shared" si="81"/>
        <v>1.54</v>
      </c>
      <c r="J114" s="294">
        <f t="shared" si="81"/>
        <v>1.56</v>
      </c>
      <c r="K114" s="294">
        <f t="shared" si="81"/>
        <v>1.58</v>
      </c>
      <c r="L114" s="294">
        <f t="shared" si="81"/>
        <v>1.6</v>
      </c>
      <c r="M114" s="294">
        <f t="shared" si="81"/>
        <v>1.62</v>
      </c>
      <c r="N114" s="294">
        <f t="shared" si="81"/>
        <v>1.6400000000000001</v>
      </c>
      <c r="O114" s="294">
        <f t="shared" si="81"/>
        <v>1.6600000000000001</v>
      </c>
      <c r="P114" s="294">
        <f t="shared" si="81"/>
        <v>1.6800000000000002</v>
      </c>
      <c r="Q114" s="6"/>
      <c r="R114" s="6"/>
      <c r="S114" s="6"/>
      <c r="T114" s="6"/>
      <c r="U114" s="6"/>
      <c r="V114" s="6"/>
      <c r="W114" s="6"/>
      <c r="X114" s="6"/>
      <c r="Y114" s="21"/>
      <c r="Z114" s="6"/>
      <c r="AA114" s="6"/>
      <c r="AB114" s="6"/>
      <c r="AC114" s="6"/>
      <c r="AD114" s="6"/>
      <c r="AE114" s="6"/>
      <c r="AF114" s="6"/>
      <c r="AG114" s="6"/>
      <c r="AH114" s="6"/>
      <c r="AI114" s="6"/>
      <c r="AJ114" s="6"/>
      <c r="AK114" s="6"/>
      <c r="AL114" s="6"/>
      <c r="AM114" s="6"/>
      <c r="AN114" s="6"/>
      <c r="AO114" s="6"/>
      <c r="AP114" s="6"/>
    </row>
    <row r="115" spans="1:42" ht="15.75" x14ac:dyDescent="0.3">
      <c r="A115" s="248" t="s">
        <v>32</v>
      </c>
      <c r="B115" s="293"/>
      <c r="C115" s="293"/>
      <c r="D115" s="293"/>
      <c r="E115" s="293"/>
      <c r="F115" s="293"/>
      <c r="G115" s="300">
        <v>1.5</v>
      </c>
      <c r="H115" s="294">
        <f>G115+0.01</f>
        <v>1.51</v>
      </c>
      <c r="I115" s="294">
        <f t="shared" ref="I115:P115" si="82">H115+0.01</f>
        <v>1.52</v>
      </c>
      <c r="J115" s="294">
        <f t="shared" si="82"/>
        <v>1.53</v>
      </c>
      <c r="K115" s="294">
        <f t="shared" si="82"/>
        <v>1.54</v>
      </c>
      <c r="L115" s="294">
        <f t="shared" si="82"/>
        <v>1.55</v>
      </c>
      <c r="M115" s="294">
        <f t="shared" si="82"/>
        <v>1.56</v>
      </c>
      <c r="N115" s="294">
        <f t="shared" si="82"/>
        <v>1.57</v>
      </c>
      <c r="O115" s="294">
        <f t="shared" si="82"/>
        <v>1.58</v>
      </c>
      <c r="P115" s="294">
        <f t="shared" si="82"/>
        <v>1.59</v>
      </c>
      <c r="Q115" s="6"/>
      <c r="R115" s="6"/>
      <c r="S115" s="6"/>
      <c r="T115" s="6"/>
      <c r="U115" s="6"/>
      <c r="V115" s="6"/>
      <c r="W115" s="6"/>
      <c r="X115" s="6"/>
      <c r="Y115" s="21"/>
      <c r="Z115" s="6"/>
      <c r="AA115" s="6"/>
      <c r="AB115" s="6"/>
      <c r="AC115" s="6"/>
      <c r="AD115" s="6"/>
      <c r="AE115" s="6"/>
      <c r="AF115" s="6"/>
      <c r="AG115" s="6"/>
      <c r="AH115" s="6"/>
      <c r="AI115" s="6"/>
      <c r="AJ115" s="6"/>
      <c r="AK115" s="6"/>
      <c r="AL115" s="6"/>
      <c r="AM115" s="6"/>
      <c r="AN115" s="6"/>
      <c r="AO115" s="6"/>
      <c r="AP115" s="6"/>
    </row>
    <row r="116" spans="1:42" ht="15.75" x14ac:dyDescent="0.3">
      <c r="A116" s="284" t="s">
        <v>3</v>
      </c>
      <c r="B116" s="302"/>
      <c r="C116" s="302"/>
      <c r="D116" s="302"/>
      <c r="E116" s="302"/>
      <c r="F116" s="302"/>
      <c r="G116" s="303">
        <f>G127/G82</f>
        <v>1.1677518204362738</v>
      </c>
      <c r="H116" s="295">
        <f>G116</f>
        <v>1.1677518204362738</v>
      </c>
      <c r="I116" s="295">
        <f t="shared" ref="I116:P116" si="83">H116</f>
        <v>1.1677518204362738</v>
      </c>
      <c r="J116" s="295">
        <f t="shared" si="83"/>
        <v>1.1677518204362738</v>
      </c>
      <c r="K116" s="295">
        <f t="shared" si="83"/>
        <v>1.1677518204362738</v>
      </c>
      <c r="L116" s="295">
        <f t="shared" si="83"/>
        <v>1.1677518204362738</v>
      </c>
      <c r="M116" s="295">
        <f t="shared" si="83"/>
        <v>1.1677518204362738</v>
      </c>
      <c r="N116" s="295">
        <f t="shared" si="83"/>
        <v>1.1677518204362738</v>
      </c>
      <c r="O116" s="295">
        <f t="shared" si="83"/>
        <v>1.1677518204362738</v>
      </c>
      <c r="P116" s="295">
        <f t="shared" si="83"/>
        <v>1.1677518204362738</v>
      </c>
      <c r="Q116" s="6"/>
      <c r="R116" s="6"/>
      <c r="S116" s="6"/>
      <c r="T116" s="6"/>
      <c r="U116" s="6"/>
      <c r="V116" s="6"/>
      <c r="W116" s="6"/>
      <c r="X116" s="6"/>
      <c r="Y116" s="21"/>
      <c r="Z116" s="6"/>
      <c r="AA116" s="6"/>
      <c r="AB116" s="6"/>
      <c r="AC116" s="6"/>
      <c r="AD116" s="6"/>
      <c r="AE116" s="6"/>
      <c r="AF116" s="6"/>
      <c r="AG116" s="6"/>
      <c r="AH116" s="6"/>
      <c r="AI116" s="6"/>
      <c r="AJ116" s="6"/>
      <c r="AK116" s="6"/>
      <c r="AL116" s="6"/>
      <c r="AM116" s="6"/>
      <c r="AN116" s="6"/>
      <c r="AO116" s="6"/>
      <c r="AP116" s="6"/>
    </row>
    <row r="117" spans="1:42" ht="15.75" x14ac:dyDescent="0.3">
      <c r="A117" s="248" t="s">
        <v>6</v>
      </c>
      <c r="B117" s="293"/>
      <c r="C117" s="293"/>
      <c r="D117" s="293"/>
      <c r="E117" s="293">
        <v>1.4980647376470955</v>
      </c>
      <c r="F117" s="293">
        <v>1.4980647376470955</v>
      </c>
      <c r="G117" s="293">
        <f>G128/G83</f>
        <v>1.4285714285714286</v>
      </c>
      <c r="H117" s="293">
        <f t="shared" ref="H117:P117" si="84">H128/H83</f>
        <v>1.465354153891413</v>
      </c>
      <c r="I117" s="293">
        <f t="shared" si="84"/>
        <v>1.441935323023132</v>
      </c>
      <c r="J117" s="293">
        <f t="shared" si="84"/>
        <v>1.4702252499785275</v>
      </c>
      <c r="K117" s="293">
        <f t="shared" si="84"/>
        <v>1.5236522921197753</v>
      </c>
      <c r="L117" s="293">
        <f t="shared" si="84"/>
        <v>1.5523294460421335</v>
      </c>
      <c r="M117" s="293">
        <f t="shared" si="84"/>
        <v>1.5783362603971931</v>
      </c>
      <c r="N117" s="293">
        <f t="shared" si="84"/>
        <v>1.6067967335321063</v>
      </c>
      <c r="O117" s="293">
        <f t="shared" si="84"/>
        <v>1.6339277358896851</v>
      </c>
      <c r="P117" s="293">
        <f t="shared" si="84"/>
        <v>1.6622175241342441</v>
      </c>
      <c r="Q117" s="6"/>
      <c r="R117" s="6"/>
      <c r="S117" s="6"/>
      <c r="T117" s="6"/>
      <c r="U117" s="6"/>
      <c r="V117" s="6"/>
      <c r="W117" s="6"/>
      <c r="X117" s="6"/>
      <c r="Y117" s="21"/>
      <c r="Z117" s="6"/>
      <c r="AA117" s="6"/>
      <c r="AB117" s="6"/>
      <c r="AC117" s="6"/>
      <c r="AD117" s="6"/>
      <c r="AE117" s="6"/>
      <c r="AF117" s="6"/>
      <c r="AG117" s="6"/>
      <c r="AH117" s="6"/>
      <c r="AI117" s="6"/>
      <c r="AJ117" s="6"/>
      <c r="AK117" s="6"/>
      <c r="AL117" s="6"/>
      <c r="AM117" s="6"/>
      <c r="AN117" s="6"/>
      <c r="AO117" s="6"/>
      <c r="AP117" s="6"/>
    </row>
    <row r="118" spans="1:42" ht="15.75" x14ac:dyDescent="0.3">
      <c r="A118" s="248"/>
      <c r="B118" s="248"/>
      <c r="C118" s="248"/>
      <c r="D118" s="248"/>
      <c r="E118" s="248"/>
      <c r="F118" s="248"/>
      <c r="G118" s="248"/>
      <c r="H118" s="248"/>
      <c r="I118" s="248"/>
      <c r="J118" s="248"/>
      <c r="K118" s="248"/>
      <c r="L118" s="248"/>
      <c r="M118" s="248"/>
      <c r="N118" s="248"/>
      <c r="O118" s="248"/>
      <c r="P118" s="248"/>
      <c r="Q118" s="6"/>
      <c r="R118" s="6"/>
      <c r="S118" s="6"/>
      <c r="T118" s="6"/>
      <c r="U118" s="6"/>
      <c r="V118" s="6"/>
      <c r="W118" s="6"/>
      <c r="X118" s="6"/>
      <c r="Y118" s="21"/>
      <c r="Z118" s="6"/>
      <c r="AA118" s="6"/>
      <c r="AB118" s="6"/>
      <c r="AC118" s="6"/>
      <c r="AD118" s="6"/>
      <c r="AE118" s="6"/>
      <c r="AF118" s="6"/>
      <c r="AG118" s="6"/>
      <c r="AH118" s="6"/>
      <c r="AI118" s="6"/>
      <c r="AJ118" s="6"/>
      <c r="AK118" s="6"/>
      <c r="AL118" s="6"/>
      <c r="AM118" s="6"/>
      <c r="AN118" s="6"/>
      <c r="AO118" s="6"/>
      <c r="AP118" s="6"/>
    </row>
    <row r="119" spans="1:42" ht="15.75" x14ac:dyDescent="0.3">
      <c r="A119" s="254" t="s">
        <v>7</v>
      </c>
      <c r="B119" s="248"/>
      <c r="C119" s="248"/>
      <c r="D119" s="248"/>
      <c r="E119" s="248"/>
      <c r="F119" s="248"/>
      <c r="G119" s="248"/>
      <c r="H119" s="248"/>
      <c r="I119" s="248"/>
      <c r="J119" s="248"/>
      <c r="K119" s="248"/>
      <c r="L119" s="248"/>
      <c r="M119" s="248"/>
      <c r="N119" s="248"/>
      <c r="O119" s="248"/>
      <c r="P119" s="248"/>
      <c r="Q119" s="6"/>
      <c r="R119" s="6"/>
      <c r="S119" s="6"/>
      <c r="T119" s="6"/>
      <c r="U119" s="6"/>
      <c r="V119" s="6"/>
      <c r="W119" s="6"/>
      <c r="X119" s="6"/>
      <c r="Y119" s="21"/>
      <c r="Z119" s="6"/>
      <c r="AA119" s="6"/>
      <c r="AB119" s="6"/>
      <c r="AC119" s="6"/>
      <c r="AD119" s="6"/>
      <c r="AE119" s="6"/>
      <c r="AF119" s="6"/>
      <c r="AG119" s="6"/>
      <c r="AH119" s="6"/>
      <c r="AI119" s="6"/>
      <c r="AJ119" s="6"/>
      <c r="AK119" s="6"/>
      <c r="AL119" s="6"/>
      <c r="AM119" s="6"/>
      <c r="AN119" s="6"/>
      <c r="AO119" s="6"/>
      <c r="AP119" s="6"/>
    </row>
    <row r="120" spans="1:42" ht="15.75" x14ac:dyDescent="0.3">
      <c r="A120" s="248" t="s">
        <v>1</v>
      </c>
      <c r="B120" s="275"/>
      <c r="C120" s="275"/>
      <c r="D120" s="275"/>
      <c r="E120" s="275"/>
      <c r="F120" s="275"/>
      <c r="G120" s="275">
        <f t="shared" ref="G120:P120" si="85">G75*G109</f>
        <v>14153.58</v>
      </c>
      <c r="H120" s="275">
        <f t="shared" si="85"/>
        <v>15065.62</v>
      </c>
      <c r="I120" s="275">
        <f t="shared" si="85"/>
        <v>14758.9</v>
      </c>
      <c r="J120" s="275">
        <f t="shared" si="85"/>
        <v>15290.248288573401</v>
      </c>
      <c r="K120" s="275">
        <f t="shared" si="85"/>
        <v>15827.97548231586</v>
      </c>
      <c r="L120" s="275">
        <f t="shared" si="85"/>
        <v>16372.08158122738</v>
      </c>
      <c r="M120" s="275">
        <f t="shared" si="85"/>
        <v>16922.566585307959</v>
      </c>
      <c r="N120" s="275">
        <f t="shared" si="85"/>
        <v>17479.430494557597</v>
      </c>
      <c r="O120" s="275">
        <f t="shared" si="85"/>
        <v>18042.673308976297</v>
      </c>
      <c r="P120" s="275">
        <f t="shared" si="85"/>
        <v>18612.295028564055</v>
      </c>
      <c r="Q120" s="6"/>
      <c r="R120" s="6"/>
      <c r="S120" s="6"/>
      <c r="T120" s="6"/>
      <c r="U120" s="6"/>
      <c r="V120" s="6"/>
      <c r="W120" s="6"/>
      <c r="X120" s="6"/>
      <c r="Y120" s="21"/>
      <c r="Z120" s="6"/>
      <c r="AA120" s="6"/>
      <c r="AB120" s="6"/>
      <c r="AC120" s="6"/>
      <c r="AD120" s="6"/>
      <c r="AE120" s="6"/>
      <c r="AF120" s="6"/>
      <c r="AG120" s="6"/>
      <c r="AH120" s="6"/>
      <c r="AI120" s="6"/>
      <c r="AJ120" s="6"/>
      <c r="AK120" s="6"/>
      <c r="AL120" s="6"/>
      <c r="AM120" s="6"/>
      <c r="AN120" s="6"/>
      <c r="AO120" s="6"/>
      <c r="AP120" s="6"/>
    </row>
    <row r="121" spans="1:42" ht="15.75" x14ac:dyDescent="0.3">
      <c r="A121" s="248" t="s">
        <v>2</v>
      </c>
      <c r="B121" s="275"/>
      <c r="C121" s="275"/>
      <c r="D121" s="275"/>
      <c r="E121" s="275"/>
      <c r="F121" s="275"/>
      <c r="G121" s="275">
        <f t="shared" ref="G121:P121" si="86">G76*G110</f>
        <v>34650</v>
      </c>
      <c r="H121" s="275">
        <f t="shared" si="86"/>
        <v>36632.893391813479</v>
      </c>
      <c r="I121" s="275">
        <f t="shared" si="86"/>
        <v>38670.794232552325</v>
      </c>
      <c r="J121" s="275">
        <f t="shared" si="86"/>
        <v>40763.702522216554</v>
      </c>
      <c r="K121" s="275">
        <f t="shared" si="86"/>
        <v>42911.618260806157</v>
      </c>
      <c r="L121" s="275">
        <f t="shared" si="86"/>
        <v>45114.541448321135</v>
      </c>
      <c r="M121" s="275">
        <f t="shared" si="86"/>
        <v>47372.472084761488</v>
      </c>
      <c r="N121" s="275">
        <f t="shared" si="86"/>
        <v>49685.410170127216</v>
      </c>
      <c r="O121" s="275">
        <f t="shared" si="86"/>
        <v>52053.355704418325</v>
      </c>
      <c r="P121" s="275">
        <f t="shared" si="86"/>
        <v>54476.308687634802</v>
      </c>
      <c r="Q121" s="6"/>
      <c r="R121" s="6"/>
      <c r="S121" s="6"/>
      <c r="T121" s="6"/>
      <c r="U121" s="6"/>
      <c r="V121" s="6"/>
      <c r="W121" s="6"/>
      <c r="X121" s="6"/>
      <c r="Y121" s="21"/>
      <c r="Z121" s="6"/>
      <c r="AA121" s="6"/>
      <c r="AB121" s="6"/>
      <c r="AC121" s="6"/>
      <c r="AD121" s="6"/>
      <c r="AE121" s="6"/>
      <c r="AF121" s="6"/>
      <c r="AG121" s="6"/>
      <c r="AH121" s="6"/>
      <c r="AI121" s="6"/>
      <c r="AJ121" s="6"/>
      <c r="AK121" s="6"/>
      <c r="AL121" s="6"/>
      <c r="AM121" s="6"/>
      <c r="AN121" s="6"/>
      <c r="AO121" s="6"/>
      <c r="AP121" s="6"/>
    </row>
    <row r="122" spans="1:42" ht="15.75" x14ac:dyDescent="0.3">
      <c r="A122" s="248" t="s">
        <v>28</v>
      </c>
      <c r="B122" s="275"/>
      <c r="C122" s="275"/>
      <c r="D122" s="275"/>
      <c r="E122" s="275"/>
      <c r="F122" s="275"/>
      <c r="G122" s="275">
        <f t="shared" ref="G122:H126" si="87">G77*G111</f>
        <v>14815.5</v>
      </c>
      <c r="H122" s="275">
        <f t="shared" si="87"/>
        <v>15663.33714419661</v>
      </c>
      <c r="I122" s="275">
        <f t="shared" ref="I122:P122" si="88">I77*I111-I172</f>
        <v>15084.694140039799</v>
      </c>
      <c r="J122" s="275">
        <f t="shared" si="88"/>
        <v>16029.570987529562</v>
      </c>
      <c r="K122" s="275">
        <f t="shared" si="88"/>
        <v>17947.967686665907</v>
      </c>
      <c r="L122" s="275">
        <f t="shared" si="88"/>
        <v>18989.884237448823</v>
      </c>
      <c r="M122" s="275">
        <f t="shared" si="88"/>
        <v>19955.320639878322</v>
      </c>
      <c r="N122" s="275">
        <f t="shared" si="88"/>
        <v>21044.276893954393</v>
      </c>
      <c r="O122" s="275">
        <f t="shared" si="88"/>
        <v>22106.752999677046</v>
      </c>
      <c r="P122" s="275">
        <f t="shared" si="88"/>
        <v>23244.748957046275</v>
      </c>
      <c r="Q122" s="6"/>
      <c r="R122" s="6"/>
      <c r="S122" s="6"/>
      <c r="T122" s="6"/>
      <c r="U122" s="6"/>
      <c r="V122" s="6"/>
      <c r="W122" s="6"/>
      <c r="X122" s="6"/>
      <c r="Y122" s="21"/>
      <c r="Z122" s="6"/>
      <c r="AA122" s="6"/>
      <c r="AB122" s="6"/>
      <c r="AC122" s="6"/>
      <c r="AD122" s="6"/>
      <c r="AE122" s="6"/>
      <c r="AF122" s="6"/>
      <c r="AG122" s="6"/>
      <c r="AH122" s="6"/>
      <c r="AI122" s="6"/>
      <c r="AJ122" s="6"/>
      <c r="AK122" s="6"/>
      <c r="AL122" s="6"/>
      <c r="AM122" s="6"/>
      <c r="AN122" s="6"/>
      <c r="AO122" s="6"/>
      <c r="AP122" s="6"/>
    </row>
    <row r="123" spans="1:42" ht="15.75" x14ac:dyDescent="0.3">
      <c r="A123" s="248" t="s">
        <v>29</v>
      </c>
      <c r="B123" s="275"/>
      <c r="C123" s="275"/>
      <c r="D123" s="275"/>
      <c r="E123" s="275"/>
      <c r="F123" s="275"/>
      <c r="G123" s="275">
        <f t="shared" si="87"/>
        <v>9750</v>
      </c>
      <c r="H123" s="275">
        <f t="shared" si="87"/>
        <v>10174.087443388911</v>
      </c>
      <c r="I123" s="275">
        <f t="shared" ref="I123:P123" si="89">I78*I112-I174</f>
        <v>9735.9140300248982</v>
      </c>
      <c r="J123" s="275">
        <f t="shared" si="89"/>
        <v>10205.479759907963</v>
      </c>
      <c r="K123" s="275">
        <f t="shared" si="89"/>
        <v>11252.784633038105</v>
      </c>
      <c r="L123" s="275">
        <f t="shared" si="89"/>
        <v>11767.828649415322</v>
      </c>
      <c r="M123" s="275">
        <f t="shared" si="89"/>
        <v>12230.611809039618</v>
      </c>
      <c r="N123" s="275">
        <f t="shared" si="89"/>
        <v>12761.134111910987</v>
      </c>
      <c r="O123" s="275">
        <f t="shared" si="89"/>
        <v>13269.395558029435</v>
      </c>
      <c r="P123" s="275">
        <f t="shared" si="89"/>
        <v>13816.596147394961</v>
      </c>
      <c r="Q123" s="6"/>
      <c r="R123" s="6"/>
      <c r="S123" s="6"/>
      <c r="T123" s="6"/>
      <c r="U123" s="6"/>
      <c r="V123" s="6"/>
      <c r="W123" s="6"/>
      <c r="X123" s="6"/>
      <c r="Y123" s="21"/>
      <c r="Z123" s="6"/>
      <c r="AA123" s="6"/>
      <c r="AB123" s="6"/>
      <c r="AC123" s="6"/>
      <c r="AD123" s="6"/>
      <c r="AE123" s="6"/>
      <c r="AF123" s="6"/>
      <c r="AG123" s="6"/>
      <c r="AH123" s="6"/>
      <c r="AI123" s="6"/>
      <c r="AJ123" s="6"/>
      <c r="AK123" s="6"/>
      <c r="AL123" s="6"/>
      <c r="AM123" s="6"/>
      <c r="AN123" s="6"/>
      <c r="AO123" s="6"/>
      <c r="AP123" s="6"/>
    </row>
    <row r="124" spans="1:42" ht="15.75" x14ac:dyDescent="0.3">
      <c r="A124" s="248" t="s">
        <v>30</v>
      </c>
      <c r="B124" s="275"/>
      <c r="C124" s="275"/>
      <c r="D124" s="275"/>
      <c r="E124" s="275"/>
      <c r="F124" s="275"/>
      <c r="G124" s="275">
        <f t="shared" si="87"/>
        <v>6525</v>
      </c>
      <c r="H124" s="275">
        <f t="shared" si="87"/>
        <v>6808.8123659602716</v>
      </c>
      <c r="I124" s="275">
        <f t="shared" ref="I124:P126" si="90">I79*I113</f>
        <v>7097.8040047089717</v>
      </c>
      <c r="J124" s="275">
        <f t="shared" si="90"/>
        <v>7391.9749162461003</v>
      </c>
      <c r="K124" s="275">
        <f t="shared" si="90"/>
        <v>7691.3251005716575</v>
      </c>
      <c r="L124" s="275">
        <f t="shared" si="90"/>
        <v>7995.8545576856413</v>
      </c>
      <c r="M124" s="275">
        <f t="shared" si="90"/>
        <v>8305.5632875880547</v>
      </c>
      <c r="N124" s="275">
        <f t="shared" si="90"/>
        <v>8620.4512902788956</v>
      </c>
      <c r="O124" s="275">
        <f t="shared" si="90"/>
        <v>8940.518565758166</v>
      </c>
      <c r="P124" s="275">
        <f t="shared" si="90"/>
        <v>9265.7651140258622</v>
      </c>
      <c r="Q124" s="6"/>
      <c r="R124" s="6"/>
      <c r="S124" s="6"/>
      <c r="T124" s="6"/>
      <c r="U124" s="6"/>
      <c r="V124" s="6"/>
      <c r="W124" s="6"/>
      <c r="X124" s="6"/>
      <c r="Y124" s="21"/>
      <c r="Z124" s="6"/>
      <c r="AA124" s="6"/>
      <c r="AB124" s="6"/>
      <c r="AC124" s="6"/>
      <c r="AD124" s="6"/>
      <c r="AE124" s="6"/>
      <c r="AF124" s="6"/>
      <c r="AG124" s="6"/>
      <c r="AH124" s="6"/>
      <c r="AI124" s="6"/>
      <c r="AJ124" s="6"/>
      <c r="AK124" s="6"/>
      <c r="AL124" s="6"/>
      <c r="AM124" s="6"/>
      <c r="AN124" s="6"/>
      <c r="AO124" s="6"/>
      <c r="AP124" s="6"/>
    </row>
    <row r="125" spans="1:42" ht="15.75" x14ac:dyDescent="0.3">
      <c r="A125" s="248" t="s">
        <v>31</v>
      </c>
      <c r="B125" s="275"/>
      <c r="C125" s="275"/>
      <c r="D125" s="275"/>
      <c r="E125" s="275"/>
      <c r="F125" s="275"/>
      <c r="G125" s="275">
        <f t="shared" si="87"/>
        <v>4950</v>
      </c>
      <c r="H125" s="275">
        <f t="shared" si="87"/>
        <v>5165.3059327974479</v>
      </c>
      <c r="I125" s="275">
        <f t="shared" si="90"/>
        <v>5384.5409690895649</v>
      </c>
      <c r="J125" s="275">
        <f t="shared" si="90"/>
        <v>5607.7051088763519</v>
      </c>
      <c r="K125" s="275">
        <f t="shared" si="90"/>
        <v>5834.798352157808</v>
      </c>
      <c r="L125" s="275">
        <f t="shared" si="90"/>
        <v>6065.8206989339342</v>
      </c>
      <c r="M125" s="275">
        <f t="shared" si="90"/>
        <v>6300.7721492047303</v>
      </c>
      <c r="N125" s="275">
        <f t="shared" si="90"/>
        <v>6539.6527029701956</v>
      </c>
      <c r="O125" s="275">
        <f t="shared" si="90"/>
        <v>6782.4623602303309</v>
      </c>
      <c r="P125" s="275">
        <f t="shared" si="90"/>
        <v>7029.2011209851353</v>
      </c>
      <c r="Q125" s="6"/>
      <c r="R125" s="6"/>
      <c r="S125" s="6"/>
      <c r="T125" s="6"/>
      <c r="U125" s="6"/>
      <c r="V125" s="6"/>
      <c r="W125" s="6"/>
      <c r="X125" s="6"/>
      <c r="Y125" s="21"/>
      <c r="Z125" s="6"/>
      <c r="AA125" s="6"/>
      <c r="AB125" s="6"/>
      <c r="AC125" s="6"/>
      <c r="AD125" s="6"/>
      <c r="AE125" s="6"/>
      <c r="AF125" s="6"/>
      <c r="AG125" s="6"/>
      <c r="AH125" s="6"/>
      <c r="AI125" s="6"/>
      <c r="AJ125" s="6"/>
      <c r="AK125" s="6"/>
      <c r="AL125" s="6"/>
      <c r="AM125" s="6"/>
      <c r="AN125" s="6"/>
      <c r="AO125" s="6"/>
      <c r="AP125" s="6"/>
    </row>
    <row r="126" spans="1:42" ht="15.75" x14ac:dyDescent="0.3">
      <c r="A126" s="248" t="s">
        <v>32</v>
      </c>
      <c r="B126" s="275"/>
      <c r="C126" s="275"/>
      <c r="D126" s="275"/>
      <c r="E126" s="275"/>
      <c r="F126" s="275"/>
      <c r="G126" s="275">
        <f t="shared" si="87"/>
        <v>3750</v>
      </c>
      <c r="H126" s="275">
        <f t="shared" si="87"/>
        <v>3887.3664067604395</v>
      </c>
      <c r="I126" s="275">
        <f t="shared" si="90"/>
        <v>4026.2211102991628</v>
      </c>
      <c r="J126" s="275">
        <f t="shared" si="90"/>
        <v>4166.5641106161702</v>
      </c>
      <c r="K126" s="275">
        <f t="shared" si="90"/>
        <v>4308.3954077114613</v>
      </c>
      <c r="L126" s="275">
        <f t="shared" si="90"/>
        <v>4451.7150015850366</v>
      </c>
      <c r="M126" s="275">
        <f t="shared" si="90"/>
        <v>4596.522892236896</v>
      </c>
      <c r="N126" s="275">
        <f t="shared" si="90"/>
        <v>4742.8190796670397</v>
      </c>
      <c r="O126" s="275">
        <f t="shared" si="90"/>
        <v>4890.6035638754665</v>
      </c>
      <c r="P126" s="275">
        <f t="shared" si="90"/>
        <v>5039.8763448621776</v>
      </c>
      <c r="Q126" s="6"/>
      <c r="R126" s="6"/>
      <c r="S126" s="6"/>
      <c r="T126" s="6"/>
      <c r="U126" s="6"/>
      <c r="V126" s="6"/>
      <c r="W126" s="6"/>
      <c r="X126" s="6"/>
      <c r="Y126" s="21"/>
      <c r="Z126" s="6"/>
      <c r="AA126" s="6"/>
      <c r="AB126" s="6"/>
      <c r="AC126" s="6"/>
      <c r="AD126" s="6"/>
      <c r="AE126" s="6"/>
      <c r="AF126" s="6"/>
      <c r="AG126" s="6"/>
      <c r="AH126" s="6"/>
      <c r="AI126" s="6"/>
      <c r="AJ126" s="6"/>
      <c r="AK126" s="6"/>
      <c r="AL126" s="6"/>
      <c r="AM126" s="6"/>
      <c r="AN126" s="6"/>
      <c r="AO126" s="6"/>
      <c r="AP126" s="6"/>
    </row>
    <row r="127" spans="1:42" ht="15.75" x14ac:dyDescent="0.3">
      <c r="A127" s="284" t="s">
        <v>3</v>
      </c>
      <c r="B127" s="285"/>
      <c r="C127" s="285"/>
      <c r="D127" s="285"/>
      <c r="E127" s="285"/>
      <c r="F127" s="285"/>
      <c r="G127" s="285">
        <f>G128-SUM(G120:G126)</f>
        <v>7392.9199999999983</v>
      </c>
      <c r="H127" s="285">
        <f>H82*H116</f>
        <v>7991.7500415681852</v>
      </c>
      <c r="I127" s="285">
        <f>I82*I116-I173</f>
        <v>7893.8049010927443</v>
      </c>
      <c r="J127" s="285">
        <f t="shared" ref="J127:P127" si="91">J82*J116-J173</f>
        <v>8151.8635546873102</v>
      </c>
      <c r="K127" s="285">
        <f t="shared" si="91"/>
        <v>8789.9222082818778</v>
      </c>
      <c r="L127" s="285">
        <f t="shared" si="91"/>
        <v>9067.9808618764455</v>
      </c>
      <c r="M127" s="285">
        <f t="shared" si="91"/>
        <v>9306.0395154710131</v>
      </c>
      <c r="N127" s="285">
        <f t="shared" si="91"/>
        <v>9584.0981690655808</v>
      </c>
      <c r="O127" s="285">
        <f t="shared" si="91"/>
        <v>9842.1568226601466</v>
      </c>
      <c r="P127" s="285">
        <f t="shared" si="91"/>
        <v>10121.015476254714</v>
      </c>
      <c r="Q127" s="6"/>
      <c r="R127" s="6"/>
      <c r="S127" s="6"/>
      <c r="T127" s="6"/>
      <c r="U127" s="6"/>
      <c r="V127" s="6"/>
      <c r="W127" s="6"/>
      <c r="X127" s="6"/>
      <c r="Y127" s="21"/>
      <c r="Z127" s="6"/>
      <c r="AA127" s="6"/>
      <c r="AB127" s="6"/>
      <c r="AC127" s="6"/>
      <c r="AD127" s="6"/>
      <c r="AE127" s="6"/>
      <c r="AF127" s="6"/>
      <c r="AG127" s="6"/>
      <c r="AH127" s="6"/>
      <c r="AI127" s="6"/>
      <c r="AJ127" s="6"/>
      <c r="AK127" s="6"/>
      <c r="AL127" s="6"/>
      <c r="AM127" s="6"/>
      <c r="AN127" s="6"/>
      <c r="AO127" s="6"/>
      <c r="AP127" s="6"/>
    </row>
    <row r="128" spans="1:42" ht="15.75" x14ac:dyDescent="0.3">
      <c r="A128" s="248" t="str">
        <f>A117</f>
        <v>Market sites</v>
      </c>
      <c r="B128" s="275"/>
      <c r="C128" s="275"/>
      <c r="D128" s="275"/>
      <c r="E128" s="275"/>
      <c r="F128" s="275"/>
      <c r="G128" s="275">
        <v>95987</v>
      </c>
      <c r="H128" s="275">
        <f>SUM(H120:H127)</f>
        <v>101389.17272648535</v>
      </c>
      <c r="I128" s="275">
        <f t="shared" ref="I128:P128" si="92">SUM(I120:I127)</f>
        <v>102652.67338780747</v>
      </c>
      <c r="J128" s="275">
        <f t="shared" si="92"/>
        <v>107607.1092486534</v>
      </c>
      <c r="K128" s="275">
        <f t="shared" si="92"/>
        <v>114564.78713154883</v>
      </c>
      <c r="L128" s="275">
        <f t="shared" si="92"/>
        <v>119825.70703649371</v>
      </c>
      <c r="M128" s="275">
        <f t="shared" si="92"/>
        <v>124989.86896348809</v>
      </c>
      <c r="N128" s="275">
        <f t="shared" si="92"/>
        <v>130457.2729125319</v>
      </c>
      <c r="O128" s="275">
        <f t="shared" si="92"/>
        <v>135927.91888362521</v>
      </c>
      <c r="P128" s="275">
        <f t="shared" si="92"/>
        <v>141605.80687676798</v>
      </c>
      <c r="Q128" s="6"/>
      <c r="R128" s="6"/>
      <c r="S128" s="6"/>
      <c r="T128" s="6"/>
      <c r="U128" s="6"/>
      <c r="V128" s="6"/>
      <c r="W128" s="6"/>
      <c r="X128" s="6"/>
      <c r="Y128" s="21"/>
      <c r="Z128" s="6"/>
      <c r="AA128" s="6"/>
      <c r="AB128" s="6"/>
      <c r="AC128" s="6"/>
      <c r="AD128" s="6"/>
      <c r="AE128" s="6"/>
      <c r="AF128" s="6"/>
      <c r="AG128" s="6"/>
      <c r="AH128" s="6"/>
      <c r="AI128" s="6"/>
      <c r="AJ128" s="6"/>
      <c r="AK128" s="6"/>
      <c r="AL128" s="6"/>
      <c r="AM128" s="6"/>
      <c r="AN128" s="6"/>
      <c r="AO128" s="6"/>
      <c r="AP128" s="6"/>
    </row>
    <row r="129" spans="1:42" ht="15.75" x14ac:dyDescent="0.3">
      <c r="A129" s="248" t="s">
        <v>34</v>
      </c>
      <c r="B129" s="248"/>
      <c r="C129" s="275"/>
      <c r="D129" s="275"/>
      <c r="E129" s="275">
        <v>97296</v>
      </c>
      <c r="F129" s="275">
        <v>102462</v>
      </c>
      <c r="G129" s="275">
        <v>95987</v>
      </c>
      <c r="H129" s="248"/>
      <c r="I129" s="248"/>
      <c r="J129" s="248"/>
      <c r="K129" s="248"/>
      <c r="L129" s="248"/>
      <c r="M129" s="248"/>
      <c r="N129" s="248"/>
      <c r="O129" s="248"/>
      <c r="P129" s="248"/>
      <c r="Q129" s="6"/>
      <c r="R129" s="6"/>
      <c r="S129" s="6"/>
      <c r="T129" s="6"/>
      <c r="U129" s="6"/>
      <c r="V129" s="6"/>
      <c r="W129" s="6"/>
      <c r="X129" s="6"/>
      <c r="Y129" s="21"/>
      <c r="Z129" s="6"/>
      <c r="AA129" s="6"/>
      <c r="AB129" s="6"/>
      <c r="AC129" s="6"/>
      <c r="AD129" s="6"/>
      <c r="AE129" s="6"/>
      <c r="AF129" s="6"/>
      <c r="AG129" s="6"/>
      <c r="AH129" s="6"/>
      <c r="AI129" s="6"/>
      <c r="AJ129" s="6"/>
      <c r="AK129" s="6"/>
      <c r="AL129" s="6"/>
      <c r="AM129" s="6"/>
      <c r="AN129" s="6"/>
      <c r="AO129" s="6"/>
      <c r="AP129" s="6"/>
    </row>
    <row r="130" spans="1:42" ht="15.75" x14ac:dyDescent="0.3">
      <c r="A130" s="248" t="s">
        <v>33</v>
      </c>
      <c r="B130" s="248"/>
      <c r="C130" s="248"/>
      <c r="D130" s="248"/>
      <c r="E130" s="275">
        <f>E129-E128</f>
        <v>97296</v>
      </c>
      <c r="F130" s="275">
        <f>F129-F128</f>
        <v>102462</v>
      </c>
      <c r="G130" s="275">
        <f>G129-G128</f>
        <v>0</v>
      </c>
      <c r="H130" s="248"/>
      <c r="I130" s="248"/>
      <c r="J130" s="248"/>
      <c r="K130" s="248"/>
      <c r="L130" s="248"/>
      <c r="M130" s="248"/>
      <c r="N130" s="248"/>
      <c r="O130" s="248"/>
      <c r="P130" s="248"/>
      <c r="Q130" s="6"/>
      <c r="R130" s="6"/>
      <c r="S130" s="6"/>
      <c r="T130" s="6"/>
      <c r="U130" s="6"/>
      <c r="V130" s="6"/>
      <c r="W130" s="6"/>
      <c r="X130" s="6"/>
      <c r="Y130" s="21"/>
      <c r="Z130" s="6"/>
      <c r="AA130" s="6"/>
      <c r="AB130" s="6"/>
      <c r="AC130" s="6"/>
      <c r="AD130" s="6"/>
      <c r="AE130" s="6"/>
      <c r="AF130" s="6"/>
      <c r="AG130" s="6"/>
      <c r="AH130" s="6"/>
      <c r="AI130" s="6"/>
      <c r="AJ130" s="6"/>
      <c r="AK130" s="6"/>
      <c r="AL130" s="6"/>
      <c r="AM130" s="6"/>
      <c r="AN130" s="6"/>
      <c r="AO130" s="6"/>
      <c r="AP130" s="6"/>
    </row>
    <row r="131" spans="1:42" ht="15.75" x14ac:dyDescent="0.3">
      <c r="A131" s="248"/>
      <c r="B131" s="248"/>
      <c r="C131" s="248"/>
      <c r="D131" s="248"/>
      <c r="E131" s="275"/>
      <c r="F131" s="275"/>
      <c r="G131" s="275"/>
      <c r="H131" s="248"/>
      <c r="I131" s="248"/>
      <c r="J131" s="248"/>
      <c r="K131" s="248"/>
      <c r="L131" s="248"/>
      <c r="M131" s="248"/>
      <c r="N131" s="248"/>
      <c r="O131" s="248"/>
      <c r="P131" s="248"/>
      <c r="Q131" s="6"/>
      <c r="R131" s="6"/>
      <c r="S131" s="6"/>
      <c r="T131" s="6"/>
      <c r="U131" s="6"/>
      <c r="V131" s="6"/>
      <c r="W131" s="6"/>
      <c r="X131" s="6"/>
      <c r="Y131" s="21"/>
      <c r="Z131" s="6"/>
      <c r="AA131" s="6"/>
      <c r="AB131" s="6"/>
      <c r="AC131" s="6"/>
      <c r="AD131" s="6"/>
      <c r="AE131" s="6"/>
      <c r="AF131" s="6"/>
      <c r="AG131" s="6"/>
      <c r="AH131" s="6"/>
      <c r="AI131" s="6"/>
      <c r="AJ131" s="6"/>
      <c r="AK131" s="6"/>
      <c r="AL131" s="6"/>
      <c r="AM131" s="6"/>
      <c r="AN131" s="6"/>
      <c r="AO131" s="6"/>
      <c r="AP131" s="6"/>
    </row>
    <row r="132" spans="1:42" ht="15.75" x14ac:dyDescent="0.3">
      <c r="A132" s="270" t="s">
        <v>117</v>
      </c>
      <c r="B132" s="284"/>
      <c r="C132" s="284"/>
      <c r="D132" s="284"/>
      <c r="E132" s="284"/>
      <c r="F132" s="284"/>
      <c r="G132" s="284"/>
      <c r="H132" s="284"/>
      <c r="I132" s="284"/>
      <c r="J132" s="284"/>
      <c r="K132" s="284"/>
      <c r="L132" s="284"/>
      <c r="M132" s="284"/>
      <c r="N132" s="284"/>
      <c r="O132" s="284"/>
      <c r="P132" s="284"/>
      <c r="Q132" s="6"/>
      <c r="R132" s="6"/>
      <c r="S132" s="6"/>
      <c r="T132" s="6"/>
      <c r="U132" s="6"/>
      <c r="V132" s="6"/>
      <c r="W132" s="6"/>
      <c r="X132" s="6"/>
      <c r="Y132" s="21"/>
      <c r="Z132" s="6"/>
      <c r="AA132" s="6"/>
      <c r="AB132" s="6"/>
      <c r="AC132" s="6"/>
      <c r="AD132" s="6"/>
      <c r="AE132" s="6"/>
      <c r="AF132" s="6"/>
      <c r="AG132" s="6"/>
      <c r="AH132" s="6"/>
      <c r="AI132" s="6"/>
      <c r="AJ132" s="6"/>
      <c r="AK132" s="6"/>
      <c r="AL132" s="6"/>
      <c r="AM132" s="6"/>
      <c r="AN132" s="6"/>
      <c r="AO132" s="6"/>
      <c r="AP132" s="6"/>
    </row>
    <row r="133" spans="1:42" ht="15.75" x14ac:dyDescent="0.3">
      <c r="A133" s="248" t="s">
        <v>1</v>
      </c>
      <c r="B133" s="292"/>
      <c r="C133" s="292"/>
      <c r="D133" s="292"/>
      <c r="E133" s="292"/>
      <c r="F133" s="292"/>
      <c r="G133" s="292">
        <f>G120/G$128</f>
        <v>0.14745309260629044</v>
      </c>
      <c r="H133" s="292">
        <f t="shared" ref="H133:P133" si="93">H120/H$128</f>
        <v>0.14859200045592727</v>
      </c>
      <c r="I133" s="292">
        <f t="shared" si="93"/>
        <v>0.14377511576579147</v>
      </c>
      <c r="J133" s="292">
        <f t="shared" si="93"/>
        <v>0.14209329100404899</v>
      </c>
      <c r="K133" s="292">
        <f t="shared" si="93"/>
        <v>0.13815742060552527</v>
      </c>
      <c r="L133" s="292">
        <f t="shared" si="93"/>
        <v>0.13663246381881272</v>
      </c>
      <c r="M133" s="292">
        <f t="shared" si="93"/>
        <v>0.13539150593278373</v>
      </c>
      <c r="N133" s="292">
        <f t="shared" si="93"/>
        <v>0.13398586452345271</v>
      </c>
      <c r="O133" s="292">
        <f t="shared" si="93"/>
        <v>0.13273706724240769</v>
      </c>
      <c r="P133" s="292">
        <f t="shared" si="93"/>
        <v>0.13143737138379746</v>
      </c>
      <c r="Q133" s="6"/>
      <c r="R133" s="6"/>
      <c r="S133" s="6"/>
      <c r="T133" s="6"/>
      <c r="U133" s="6"/>
      <c r="V133" s="6"/>
      <c r="W133" s="6"/>
      <c r="X133" s="6"/>
      <c r="Y133" s="21"/>
      <c r="Z133" s="6"/>
      <c r="AA133" s="6"/>
      <c r="AB133" s="6"/>
      <c r="AC133" s="6"/>
      <c r="AD133" s="6"/>
      <c r="AE133" s="6"/>
      <c r="AF133" s="6"/>
      <c r="AG133" s="6"/>
      <c r="AH133" s="6"/>
      <c r="AI133" s="6"/>
      <c r="AJ133" s="6"/>
      <c r="AK133" s="6"/>
      <c r="AL133" s="6"/>
      <c r="AM133" s="6"/>
      <c r="AN133" s="6"/>
      <c r="AO133" s="6"/>
      <c r="AP133" s="6"/>
    </row>
    <row r="134" spans="1:42" ht="15.75" x14ac:dyDescent="0.3">
      <c r="A134" s="248" t="s">
        <v>2</v>
      </c>
      <c r="B134" s="292"/>
      <c r="C134" s="292"/>
      <c r="D134" s="292"/>
      <c r="E134" s="292"/>
      <c r="F134" s="292"/>
      <c r="G134" s="292">
        <f t="shared" ref="G134:P134" si="94">G121/G$128</f>
        <v>0.36098638357277546</v>
      </c>
      <c r="H134" s="292">
        <f t="shared" si="94"/>
        <v>0.36130971785948957</v>
      </c>
      <c r="I134" s="292">
        <f t="shared" si="94"/>
        <v>0.37671492574245447</v>
      </c>
      <c r="J134" s="292">
        <f t="shared" si="94"/>
        <v>0.37881978994549259</v>
      </c>
      <c r="K134" s="292">
        <f t="shared" si="94"/>
        <v>0.37456202150083834</v>
      </c>
      <c r="L134" s="292">
        <f t="shared" si="94"/>
        <v>0.37650135821507152</v>
      </c>
      <c r="M134" s="292">
        <f t="shared" si="94"/>
        <v>0.37901049483138416</v>
      </c>
      <c r="N134" s="292">
        <f t="shared" si="94"/>
        <v>0.38085580865575774</v>
      </c>
      <c r="O134" s="292">
        <f t="shared" si="94"/>
        <v>0.38294822823693669</v>
      </c>
      <c r="P134" s="292">
        <f t="shared" si="94"/>
        <v>0.38470391779231655</v>
      </c>
      <c r="Q134" s="6"/>
      <c r="R134" s="6"/>
      <c r="S134" s="6"/>
      <c r="T134" s="6"/>
      <c r="U134" s="6"/>
      <c r="V134" s="6"/>
      <c r="W134" s="6"/>
      <c r="X134" s="6"/>
      <c r="Y134" s="21"/>
      <c r="Z134" s="6"/>
      <c r="AA134" s="6"/>
      <c r="AB134" s="6"/>
      <c r="AC134" s="6"/>
      <c r="AD134" s="6"/>
      <c r="AE134" s="6"/>
      <c r="AF134" s="6"/>
      <c r="AG134" s="6"/>
      <c r="AH134" s="6"/>
      <c r="AI134" s="6"/>
      <c r="AJ134" s="6"/>
      <c r="AK134" s="6"/>
      <c r="AL134" s="6"/>
      <c r="AM134" s="6"/>
      <c r="AN134" s="6"/>
      <c r="AO134" s="6"/>
      <c r="AP134" s="6"/>
    </row>
    <row r="135" spans="1:42" ht="15.75" x14ac:dyDescent="0.3">
      <c r="A135" s="248" t="s">
        <v>28</v>
      </c>
      <c r="B135" s="292"/>
      <c r="C135" s="292"/>
      <c r="D135" s="292"/>
      <c r="E135" s="292"/>
      <c r="F135" s="292"/>
      <c r="G135" s="292">
        <f t="shared" ref="G135:P135" si="95">G122/G$128</f>
        <v>0.15434902643066248</v>
      </c>
      <c r="H135" s="292">
        <f t="shared" si="95"/>
        <v>0.15448727633325446</v>
      </c>
      <c r="I135" s="292">
        <f t="shared" si="95"/>
        <v>0.14694886788824224</v>
      </c>
      <c r="J135" s="292">
        <f t="shared" si="95"/>
        <v>0.14896386585842752</v>
      </c>
      <c r="K135" s="292">
        <f t="shared" si="95"/>
        <v>0.15666216588922025</v>
      </c>
      <c r="L135" s="292">
        <f t="shared" si="95"/>
        <v>0.15847921708206844</v>
      </c>
      <c r="M135" s="292">
        <f t="shared" si="95"/>
        <v>0.15965550492502437</v>
      </c>
      <c r="N135" s="292">
        <f t="shared" si="95"/>
        <v>0.16131164192021716</v>
      </c>
      <c r="O135" s="292">
        <f t="shared" si="95"/>
        <v>0.1626358527463645</v>
      </c>
      <c r="P135" s="292">
        <f t="shared" si="95"/>
        <v>0.1641510999423558</v>
      </c>
      <c r="Q135" s="6"/>
      <c r="R135" s="6"/>
      <c r="S135" s="6"/>
      <c r="T135" s="6"/>
      <c r="U135" s="6"/>
      <c r="V135" s="6"/>
      <c r="W135" s="6"/>
      <c r="X135" s="6"/>
      <c r="Y135" s="21"/>
      <c r="Z135" s="6"/>
      <c r="AA135" s="6"/>
      <c r="AB135" s="6"/>
      <c r="AC135" s="6"/>
      <c r="AD135" s="6"/>
      <c r="AE135" s="6"/>
      <c r="AF135" s="6"/>
      <c r="AG135" s="6"/>
      <c r="AH135" s="6"/>
      <c r="AI135" s="6"/>
      <c r="AJ135" s="6"/>
      <c r="AK135" s="6"/>
      <c r="AL135" s="6"/>
      <c r="AM135" s="6"/>
      <c r="AN135" s="6"/>
      <c r="AO135" s="6"/>
      <c r="AP135" s="6"/>
    </row>
    <row r="136" spans="1:42" ht="15.75" x14ac:dyDescent="0.3">
      <c r="A136" s="248" t="s">
        <v>29</v>
      </c>
      <c r="B136" s="292"/>
      <c r="C136" s="292"/>
      <c r="D136" s="292"/>
      <c r="E136" s="292"/>
      <c r="F136" s="292"/>
      <c r="G136" s="292">
        <f t="shared" ref="G136:P136" si="96">G123/G$128</f>
        <v>0.10157625511788054</v>
      </c>
      <c r="H136" s="292">
        <f t="shared" si="96"/>
        <v>0.10034688290469884</v>
      </c>
      <c r="I136" s="292">
        <f t="shared" si="96"/>
        <v>9.4843258423908491E-2</v>
      </c>
      <c r="J136" s="292">
        <f t="shared" si="96"/>
        <v>9.4840199975315981E-2</v>
      </c>
      <c r="K136" s="292">
        <f t="shared" si="96"/>
        <v>9.8222018429773836E-2</v>
      </c>
      <c r="L136" s="292">
        <f t="shared" si="96"/>
        <v>9.82078799320696E-2</v>
      </c>
      <c r="M136" s="292">
        <f t="shared" si="96"/>
        <v>9.785282527668232E-2</v>
      </c>
      <c r="N136" s="292">
        <f t="shared" si="96"/>
        <v>9.7818495105803607E-2</v>
      </c>
      <c r="O136" s="292">
        <f t="shared" si="96"/>
        <v>9.7620824824001293E-2</v>
      </c>
      <c r="P136" s="292">
        <f t="shared" si="96"/>
        <v>9.7570830265589395E-2</v>
      </c>
      <c r="Q136" s="6"/>
      <c r="R136" s="6"/>
      <c r="S136" s="6"/>
      <c r="T136" s="6"/>
      <c r="U136" s="6"/>
      <c r="V136" s="6"/>
      <c r="W136" s="6"/>
      <c r="X136" s="6"/>
      <c r="Y136" s="21"/>
      <c r="Z136" s="6"/>
      <c r="AA136" s="6"/>
      <c r="AB136" s="6"/>
      <c r="AC136" s="6"/>
      <c r="AD136" s="6"/>
      <c r="AE136" s="6"/>
      <c r="AF136" s="6"/>
      <c r="AG136" s="6"/>
      <c r="AH136" s="6"/>
      <c r="AI136" s="6"/>
      <c r="AJ136" s="6"/>
      <c r="AK136" s="6"/>
      <c r="AL136" s="6"/>
      <c r="AM136" s="6"/>
      <c r="AN136" s="6"/>
      <c r="AO136" s="6"/>
      <c r="AP136" s="6"/>
    </row>
    <row r="137" spans="1:42" ht="15.75" x14ac:dyDescent="0.3">
      <c r="A137" s="248" t="s">
        <v>30</v>
      </c>
      <c r="B137" s="292"/>
      <c r="C137" s="292"/>
      <c r="D137" s="292"/>
      <c r="E137" s="292"/>
      <c r="F137" s="292"/>
      <c r="G137" s="292">
        <f t="shared" ref="G137:P137" si="97">G124/G$128</f>
        <v>6.7977955348120053E-2</v>
      </c>
      <c r="H137" s="292">
        <f t="shared" si="97"/>
        <v>6.7155221636221535E-2</v>
      </c>
      <c r="I137" s="292">
        <f t="shared" si="97"/>
        <v>6.9143878775513798E-2</v>
      </c>
      <c r="J137" s="292">
        <f t="shared" si="97"/>
        <v>6.8694112943458743E-2</v>
      </c>
      <c r="K137" s="292">
        <f t="shared" si="97"/>
        <v>6.7135158133188919E-2</v>
      </c>
      <c r="L137" s="292">
        <f t="shared" si="97"/>
        <v>6.6729041333763645E-2</v>
      </c>
      <c r="M137" s="292">
        <f t="shared" si="97"/>
        <v>6.6449891950956977E-2</v>
      </c>
      <c r="N137" s="292">
        <f t="shared" si="97"/>
        <v>6.6078732889493078E-2</v>
      </c>
      <c r="O137" s="292">
        <f t="shared" si="97"/>
        <v>6.5773967844035025E-2</v>
      </c>
      <c r="P137" s="292">
        <f t="shared" si="97"/>
        <v>6.5433510944147691E-2</v>
      </c>
      <c r="Q137" s="6"/>
      <c r="R137" s="6"/>
      <c r="S137" s="6"/>
      <c r="T137" s="6"/>
      <c r="U137" s="6"/>
      <c r="V137" s="6"/>
      <c r="W137" s="6"/>
      <c r="X137" s="6"/>
      <c r="Y137" s="21"/>
      <c r="Z137" s="6"/>
      <c r="AA137" s="6"/>
      <c r="AB137" s="6"/>
      <c r="AC137" s="6"/>
      <c r="AD137" s="6"/>
      <c r="AE137" s="6"/>
      <c r="AF137" s="6"/>
      <c r="AG137" s="6"/>
      <c r="AH137" s="6"/>
      <c r="AI137" s="6"/>
      <c r="AJ137" s="6"/>
      <c r="AK137" s="6"/>
      <c r="AL137" s="6"/>
      <c r="AM137" s="6"/>
      <c r="AN137" s="6"/>
      <c r="AO137" s="6"/>
      <c r="AP137" s="6"/>
    </row>
    <row r="138" spans="1:42" ht="15.75" x14ac:dyDescent="0.3">
      <c r="A138" s="248" t="s">
        <v>31</v>
      </c>
      <c r="B138" s="292"/>
      <c r="C138" s="292"/>
      <c r="D138" s="292"/>
      <c r="E138" s="292"/>
      <c r="F138" s="292"/>
      <c r="G138" s="292">
        <f t="shared" ref="G138:P138" si="98">G125/G$128</f>
        <v>5.1569483367539352E-2</v>
      </c>
      <c r="H138" s="292">
        <f t="shared" si="98"/>
        <v>5.0945340551616342E-2</v>
      </c>
      <c r="I138" s="292">
        <f t="shared" si="98"/>
        <v>5.2453977002113919E-2</v>
      </c>
      <c r="J138" s="292">
        <f t="shared" si="98"/>
        <v>5.2112775336416971E-2</v>
      </c>
      <c r="K138" s="292">
        <f t="shared" si="98"/>
        <v>5.0930119963108825E-2</v>
      </c>
      <c r="L138" s="292">
        <f t="shared" si="98"/>
        <v>5.0622031356648271E-2</v>
      </c>
      <c r="M138" s="292">
        <f t="shared" si="98"/>
        <v>5.0410262859346668E-2</v>
      </c>
      <c r="N138" s="292">
        <f t="shared" si="98"/>
        <v>5.0128693916167151E-2</v>
      </c>
      <c r="O138" s="292">
        <f t="shared" si="98"/>
        <v>4.9897492847198972E-2</v>
      </c>
      <c r="P138" s="292">
        <f t="shared" si="98"/>
        <v>4.9639215199008581E-2</v>
      </c>
      <c r="Q138" s="6"/>
      <c r="R138" s="6"/>
      <c r="S138" s="6"/>
      <c r="T138" s="6"/>
      <c r="U138" s="6"/>
      <c r="V138" s="6"/>
      <c r="W138" s="6"/>
      <c r="X138" s="6"/>
      <c r="Y138" s="21"/>
      <c r="Z138" s="6"/>
      <c r="AA138" s="6"/>
      <c r="AB138" s="6"/>
      <c r="AC138" s="6"/>
      <c r="AD138" s="6"/>
      <c r="AE138" s="6"/>
      <c r="AF138" s="6"/>
      <c r="AG138" s="6"/>
      <c r="AH138" s="6"/>
      <c r="AI138" s="6"/>
      <c r="AJ138" s="6"/>
      <c r="AK138" s="6"/>
      <c r="AL138" s="6"/>
      <c r="AM138" s="6"/>
      <c r="AN138" s="6"/>
      <c r="AO138" s="6"/>
      <c r="AP138" s="6"/>
    </row>
    <row r="139" spans="1:42" ht="15.75" x14ac:dyDescent="0.3">
      <c r="A139" s="248" t="s">
        <v>32</v>
      </c>
      <c r="B139" s="292"/>
      <c r="C139" s="292"/>
      <c r="D139" s="292"/>
      <c r="E139" s="292"/>
      <c r="F139" s="292"/>
      <c r="G139" s="292">
        <f t="shared" ref="G139:P139" si="99">G126/G$128</f>
        <v>3.9067790429954057E-2</v>
      </c>
      <c r="H139" s="292">
        <f t="shared" si="99"/>
        <v>3.834104078595528E-2</v>
      </c>
      <c r="I139" s="292">
        <f t="shared" si="99"/>
        <v>3.9221785243611348E-2</v>
      </c>
      <c r="J139" s="292">
        <f t="shared" si="99"/>
        <v>3.8720156499960162E-2</v>
      </c>
      <c r="K139" s="292">
        <f t="shared" si="99"/>
        <v>3.7606628664742799E-2</v>
      </c>
      <c r="L139" s="292">
        <f t="shared" si="99"/>
        <v>3.7151585512691675E-2</v>
      </c>
      <c r="M139" s="292">
        <f t="shared" si="99"/>
        <v>3.6775163702104749E-2</v>
      </c>
      <c r="N139" s="292">
        <f t="shared" si="99"/>
        <v>3.6355344349770155E-2</v>
      </c>
      <c r="O139" s="292">
        <f t="shared" si="99"/>
        <v>3.5979389694493595E-2</v>
      </c>
      <c r="P139" s="292">
        <f t="shared" si="99"/>
        <v>3.5590887520934186E-2</v>
      </c>
      <c r="Q139" s="6"/>
      <c r="R139" s="6"/>
      <c r="S139" s="6"/>
      <c r="T139" s="6"/>
      <c r="U139" s="6"/>
      <c r="V139" s="6"/>
      <c r="W139" s="6"/>
      <c r="X139" s="6"/>
      <c r="Y139" s="21"/>
      <c r="Z139" s="6"/>
      <c r="AA139" s="6"/>
      <c r="AB139" s="6"/>
      <c r="AC139" s="6"/>
      <c r="AD139" s="6"/>
      <c r="AE139" s="6"/>
      <c r="AF139" s="6"/>
      <c r="AG139" s="6"/>
      <c r="AH139" s="6"/>
      <c r="AI139" s="6"/>
      <c r="AJ139" s="6"/>
      <c r="AK139" s="6"/>
      <c r="AL139" s="6"/>
      <c r="AM139" s="6"/>
      <c r="AN139" s="6"/>
      <c r="AO139" s="6"/>
      <c r="AP139" s="6"/>
    </row>
    <row r="140" spans="1:42" ht="15.75" x14ac:dyDescent="0.3">
      <c r="A140" s="284" t="s">
        <v>3</v>
      </c>
      <c r="B140" s="298"/>
      <c r="C140" s="298"/>
      <c r="D140" s="298"/>
      <c r="E140" s="298"/>
      <c r="F140" s="298"/>
      <c r="G140" s="298">
        <f t="shared" ref="G140:P140" si="100">G127/G$128</f>
        <v>7.7020013126777573E-2</v>
      </c>
      <c r="H140" s="298">
        <f t="shared" si="100"/>
        <v>7.8822519472836597E-2</v>
      </c>
      <c r="I140" s="298">
        <f t="shared" si="100"/>
        <v>7.6898191158364201E-2</v>
      </c>
      <c r="J140" s="298">
        <f t="shared" si="100"/>
        <v>7.575580843687911E-2</v>
      </c>
      <c r="K140" s="298">
        <f t="shared" si="100"/>
        <v>7.6724466813601844E-2</v>
      </c>
      <c r="L140" s="298">
        <f t="shared" si="100"/>
        <v>7.5676422748874178E-2</v>
      </c>
      <c r="M140" s="298">
        <f t="shared" si="100"/>
        <v>7.445435052171695E-2</v>
      </c>
      <c r="N140" s="298">
        <f t="shared" si="100"/>
        <v>7.346541863933842E-2</v>
      </c>
      <c r="O140" s="298">
        <f t="shared" si="100"/>
        <v>7.2407176564562248E-2</v>
      </c>
      <c r="P140" s="298">
        <f t="shared" si="100"/>
        <v>7.1473166951850325E-2</v>
      </c>
      <c r="Q140" s="6"/>
      <c r="R140" s="6"/>
      <c r="S140" s="6"/>
      <c r="T140" s="6"/>
      <c r="U140" s="6"/>
      <c r="V140" s="6"/>
      <c r="W140" s="6"/>
      <c r="X140" s="6"/>
      <c r="Y140" s="21"/>
      <c r="Z140" s="6"/>
      <c r="AA140" s="6"/>
      <c r="AB140" s="6"/>
      <c r="AC140" s="6"/>
      <c r="AD140" s="6"/>
      <c r="AE140" s="6"/>
      <c r="AF140" s="6"/>
      <c r="AG140" s="6"/>
      <c r="AH140" s="6"/>
      <c r="AI140" s="6"/>
      <c r="AJ140" s="6"/>
      <c r="AK140" s="6"/>
      <c r="AL140" s="6"/>
      <c r="AM140" s="6"/>
      <c r="AN140" s="6"/>
      <c r="AO140" s="6"/>
      <c r="AP140" s="6"/>
    </row>
    <row r="141" spans="1:42" ht="15.75" x14ac:dyDescent="0.3">
      <c r="A141" s="248" t="s">
        <v>8</v>
      </c>
      <c r="B141" s="292"/>
      <c r="C141" s="292"/>
      <c r="D141" s="292"/>
      <c r="E141" s="292"/>
      <c r="F141" s="292"/>
      <c r="G141" s="292">
        <f>SUM(G133:G140)</f>
        <v>0.99999999999999978</v>
      </c>
      <c r="H141" s="292">
        <f t="shared" ref="H141:P141" si="101">SUM(H133:H140)</f>
        <v>0.99999999999999989</v>
      </c>
      <c r="I141" s="292">
        <f t="shared" si="101"/>
        <v>0.99999999999999989</v>
      </c>
      <c r="J141" s="292">
        <f t="shared" si="101"/>
        <v>1</v>
      </c>
      <c r="K141" s="292">
        <f t="shared" si="101"/>
        <v>1.0000000000000002</v>
      </c>
      <c r="L141" s="292">
        <f t="shared" si="101"/>
        <v>1</v>
      </c>
      <c r="M141" s="292">
        <f t="shared" si="101"/>
        <v>1</v>
      </c>
      <c r="N141" s="292">
        <f t="shared" si="101"/>
        <v>1</v>
      </c>
      <c r="O141" s="292">
        <f t="shared" si="101"/>
        <v>1</v>
      </c>
      <c r="P141" s="292">
        <f t="shared" si="101"/>
        <v>1</v>
      </c>
      <c r="Q141" s="6"/>
      <c r="R141" s="6"/>
      <c r="S141" s="6"/>
      <c r="T141" s="6"/>
      <c r="U141" s="6"/>
      <c r="V141" s="6"/>
      <c r="W141" s="6"/>
      <c r="X141" s="6"/>
      <c r="Y141" s="21"/>
      <c r="Z141" s="6"/>
      <c r="AA141" s="6"/>
      <c r="AB141" s="6"/>
      <c r="AC141" s="6"/>
      <c r="AD141" s="6"/>
      <c r="AE141" s="6"/>
      <c r="AF141" s="6"/>
      <c r="AG141" s="6"/>
      <c r="AH141" s="6"/>
      <c r="AI141" s="6"/>
      <c r="AJ141" s="6"/>
      <c r="AK141" s="6"/>
      <c r="AL141" s="6"/>
      <c r="AM141" s="6"/>
      <c r="AN141" s="6"/>
      <c r="AO141" s="6"/>
      <c r="AP141" s="6"/>
    </row>
    <row r="142" spans="1:42" ht="15.75" x14ac:dyDescent="0.3">
      <c r="A142" s="248"/>
      <c r="B142" s="248"/>
      <c r="C142" s="248"/>
      <c r="D142" s="248"/>
      <c r="E142" s="275"/>
      <c r="F142" s="275"/>
      <c r="G142" s="275"/>
      <c r="H142" s="248"/>
      <c r="I142" s="248"/>
      <c r="J142" s="248"/>
      <c r="K142" s="248"/>
      <c r="L142" s="248"/>
      <c r="M142" s="248"/>
      <c r="N142" s="248"/>
      <c r="O142" s="248"/>
      <c r="P142" s="248"/>
      <c r="Q142" s="6"/>
      <c r="R142" s="6"/>
      <c r="S142" s="6"/>
      <c r="T142" s="6"/>
      <c r="U142" s="6"/>
      <c r="V142" s="6"/>
      <c r="W142" s="6"/>
      <c r="X142" s="6"/>
      <c r="Y142" s="21"/>
      <c r="Z142" s="6"/>
      <c r="AA142" s="6"/>
      <c r="AB142" s="6"/>
      <c r="AC142" s="6"/>
      <c r="AD142" s="6"/>
      <c r="AE142" s="6"/>
      <c r="AF142" s="6"/>
      <c r="AG142" s="6"/>
      <c r="AH142" s="6"/>
      <c r="AI142" s="6"/>
      <c r="AJ142" s="6"/>
      <c r="AK142" s="6"/>
      <c r="AL142" s="6"/>
      <c r="AM142" s="6"/>
      <c r="AN142" s="6"/>
      <c r="AO142" s="6"/>
      <c r="AP142" s="6"/>
    </row>
    <row r="143" spans="1:42" ht="15.75" x14ac:dyDescent="0.3">
      <c r="A143" s="284" t="s">
        <v>108</v>
      </c>
      <c r="B143" s="285"/>
      <c r="C143" s="285"/>
      <c r="D143" s="285"/>
      <c r="E143" s="285"/>
      <c r="F143" s="285"/>
      <c r="G143" s="284"/>
      <c r="H143" s="284"/>
      <c r="I143" s="284"/>
      <c r="J143" s="284"/>
      <c r="K143" s="284"/>
      <c r="L143" s="284"/>
      <c r="M143" s="284"/>
      <c r="N143" s="284"/>
      <c r="O143" s="284"/>
      <c r="P143" s="284"/>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row>
    <row r="144" spans="1:42" ht="15.75" x14ac:dyDescent="0.3">
      <c r="A144" s="248" t="s">
        <v>109</v>
      </c>
      <c r="B144" s="275"/>
      <c r="C144" s="275"/>
      <c r="D144" s="275"/>
      <c r="E144" s="275"/>
      <c r="F144" s="275"/>
      <c r="G144" s="248"/>
      <c r="H144" s="248"/>
      <c r="I144" s="248"/>
      <c r="J144" s="248"/>
      <c r="K144" s="248"/>
      <c r="L144" s="248"/>
      <c r="M144" s="248"/>
      <c r="N144" s="248"/>
      <c r="O144" s="275">
        <v>121800</v>
      </c>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row>
    <row r="145" spans="1:42" ht="15.75" x14ac:dyDescent="0.3">
      <c r="A145" s="248" t="s">
        <v>110</v>
      </c>
      <c r="B145" s="275"/>
      <c r="C145" s="275"/>
      <c r="D145" s="275"/>
      <c r="E145" s="275"/>
      <c r="F145" s="275"/>
      <c r="G145" s="248"/>
      <c r="H145" s="248"/>
      <c r="I145" s="248"/>
      <c r="J145" s="248"/>
      <c r="K145" s="248"/>
      <c r="L145" s="248"/>
      <c r="M145" s="248"/>
      <c r="N145" s="248"/>
      <c r="O145" s="275">
        <v>154900</v>
      </c>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row>
    <row r="146" spans="1:42" ht="15.75" x14ac:dyDescent="0.3">
      <c r="A146" s="248"/>
      <c r="B146" s="275"/>
      <c r="C146" s="275"/>
      <c r="D146" s="275"/>
      <c r="E146" s="275"/>
      <c r="F146" s="275"/>
      <c r="G146" s="248"/>
      <c r="H146" s="248"/>
      <c r="I146" s="248"/>
      <c r="J146" s="248"/>
      <c r="K146" s="248"/>
      <c r="L146" s="248"/>
      <c r="M146" s="248"/>
      <c r="N146" s="248"/>
      <c r="O146" s="275"/>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row>
    <row r="147" spans="1:42" ht="15.75" x14ac:dyDescent="0.3">
      <c r="A147" s="248" t="s">
        <v>111</v>
      </c>
      <c r="B147" s="275"/>
      <c r="C147" s="275"/>
      <c r="D147" s="275"/>
      <c r="E147" s="275"/>
      <c r="F147" s="275"/>
      <c r="G147" s="248"/>
      <c r="H147" s="248"/>
      <c r="I147" s="248"/>
      <c r="J147" s="248"/>
      <c r="K147" s="248"/>
      <c r="L147" s="248"/>
      <c r="M147" s="248"/>
      <c r="N147" s="248"/>
      <c r="O147" s="275">
        <f>AVERAGE(O144:O145)</f>
        <v>138350</v>
      </c>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row>
    <row r="148" spans="1:42" ht="15.75" x14ac:dyDescent="0.3">
      <c r="A148" s="248"/>
      <c r="B148" s="275"/>
      <c r="C148" s="275"/>
      <c r="D148" s="275"/>
      <c r="E148" s="275"/>
      <c r="F148" s="275"/>
      <c r="G148" s="248"/>
      <c r="H148" s="248"/>
      <c r="I148" s="248"/>
      <c r="J148" s="248"/>
      <c r="K148" s="248"/>
      <c r="L148" s="248"/>
      <c r="M148" s="248"/>
      <c r="N148" s="248"/>
      <c r="O148" s="275"/>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row>
    <row r="149" spans="1:42" ht="15.75" x14ac:dyDescent="0.3">
      <c r="A149" s="248" t="s">
        <v>112</v>
      </c>
      <c r="B149" s="275"/>
      <c r="C149" s="275"/>
      <c r="D149" s="275"/>
      <c r="E149" s="275"/>
      <c r="F149" s="275"/>
      <c r="G149" s="248"/>
      <c r="H149" s="304">
        <f>1/70%</f>
        <v>1.4285714285714286</v>
      </c>
      <c r="I149" s="248"/>
      <c r="J149" s="248"/>
      <c r="K149" s="248"/>
      <c r="L149" s="248"/>
      <c r="M149" s="248"/>
      <c r="N149" s="248"/>
      <c r="O149" s="304">
        <f>1/60%</f>
        <v>1.6666666666666667</v>
      </c>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row>
    <row r="150" spans="1:42" ht="15.75" x14ac:dyDescent="0.3">
      <c r="A150" s="248" t="s">
        <v>113</v>
      </c>
      <c r="B150" s="275"/>
      <c r="C150" s="275"/>
      <c r="D150" s="275"/>
      <c r="E150" s="275"/>
      <c r="F150" s="275"/>
      <c r="G150" s="248"/>
      <c r="H150" s="304"/>
      <c r="I150" s="248"/>
      <c r="J150" s="248"/>
      <c r="K150" s="248"/>
      <c r="L150" s="248"/>
      <c r="M150" s="248"/>
      <c r="N150" s="248"/>
      <c r="O150" s="275">
        <f>O147/O149</f>
        <v>83010</v>
      </c>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row>
    <row r="151" spans="1:42" ht="15.75" x14ac:dyDescent="0.3">
      <c r="A151" s="248"/>
      <c r="B151" s="275"/>
      <c r="C151" s="275"/>
      <c r="D151" s="275"/>
      <c r="E151" s="275"/>
      <c r="F151" s="275"/>
      <c r="G151" s="248"/>
      <c r="H151" s="304"/>
      <c r="I151" s="248"/>
      <c r="J151" s="248"/>
      <c r="K151" s="248"/>
      <c r="L151" s="248"/>
      <c r="M151" s="248"/>
      <c r="N151" s="248"/>
      <c r="O151" s="248"/>
      <c r="P151" s="304"/>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row>
    <row r="152" spans="1:42" ht="15.75" x14ac:dyDescent="0.3">
      <c r="A152" s="248"/>
      <c r="B152" s="275"/>
      <c r="C152" s="275"/>
      <c r="D152" s="275"/>
      <c r="E152" s="275"/>
      <c r="F152" s="275"/>
      <c r="G152" s="248"/>
      <c r="H152" s="248"/>
      <c r="I152" s="248"/>
      <c r="J152" s="248"/>
      <c r="K152" s="248"/>
      <c r="L152" s="248"/>
      <c r="M152" s="248"/>
      <c r="N152" s="248"/>
      <c r="O152" s="248"/>
      <c r="P152" s="248"/>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row>
    <row r="153" spans="1:42" ht="15.75" x14ac:dyDescent="0.3">
      <c r="A153" s="248"/>
      <c r="B153" s="275"/>
      <c r="C153" s="275"/>
      <c r="D153" s="275"/>
      <c r="E153" s="275"/>
      <c r="F153" s="275"/>
      <c r="G153" s="248"/>
      <c r="H153" s="248"/>
      <c r="I153" s="248"/>
      <c r="J153" s="248"/>
      <c r="K153" s="248"/>
      <c r="L153" s="248"/>
      <c r="M153" s="248"/>
      <c r="N153" s="248"/>
      <c r="O153" s="248"/>
      <c r="P153" s="248"/>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row>
    <row r="154" spans="1:42" ht="15.75" x14ac:dyDescent="0.3">
      <c r="A154" s="248" t="s">
        <v>99</v>
      </c>
      <c r="B154" s="275"/>
      <c r="C154" s="275"/>
      <c r="D154" s="275"/>
      <c r="E154" s="275"/>
      <c r="F154" s="275"/>
      <c r="G154" s="248"/>
      <c r="H154" s="248">
        <f>H157+H160+H163</f>
        <v>14294</v>
      </c>
      <c r="I154" s="248">
        <f t="shared" ref="I154:P154" si="102">I157+I160+I163</f>
        <v>11394</v>
      </c>
      <c r="J154" s="248">
        <f t="shared" si="102"/>
        <v>8594</v>
      </c>
      <c r="K154" s="248">
        <f t="shared" si="102"/>
        <v>7794</v>
      </c>
      <c r="L154" s="248">
        <f t="shared" si="102"/>
        <v>7194</v>
      </c>
      <c r="M154" s="248">
        <f t="shared" si="102"/>
        <v>6594</v>
      </c>
      <c r="N154" s="248">
        <f t="shared" si="102"/>
        <v>6194</v>
      </c>
      <c r="O154" s="248">
        <f t="shared" si="102"/>
        <v>5894</v>
      </c>
      <c r="P154" s="248">
        <f t="shared" si="102"/>
        <v>5798</v>
      </c>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row>
    <row r="155" spans="1:42" ht="15.75" x14ac:dyDescent="0.3">
      <c r="A155" s="284" t="s">
        <v>115</v>
      </c>
      <c r="B155" s="285"/>
      <c r="C155" s="285"/>
      <c r="D155" s="285"/>
      <c r="E155" s="285"/>
      <c r="F155" s="285"/>
      <c r="G155" s="284"/>
      <c r="H155" s="284"/>
      <c r="I155" s="284">
        <f>I158+I161+I164</f>
        <v>2900</v>
      </c>
      <c r="J155" s="284">
        <f t="shared" ref="J155:P155" si="103">J158+J161+J164</f>
        <v>2800</v>
      </c>
      <c r="K155" s="284">
        <f t="shared" si="103"/>
        <v>800</v>
      </c>
      <c r="L155" s="284">
        <f t="shared" si="103"/>
        <v>600</v>
      </c>
      <c r="M155" s="284">
        <f t="shared" si="103"/>
        <v>600</v>
      </c>
      <c r="N155" s="284">
        <f t="shared" si="103"/>
        <v>400</v>
      </c>
      <c r="O155" s="284">
        <f t="shared" si="103"/>
        <v>300</v>
      </c>
      <c r="P155" s="284">
        <f t="shared" si="103"/>
        <v>96</v>
      </c>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row>
    <row r="156" spans="1:42" ht="15.75" x14ac:dyDescent="0.3">
      <c r="A156" s="248"/>
      <c r="B156" s="275"/>
      <c r="C156" s="275"/>
      <c r="D156" s="275"/>
      <c r="E156" s="275"/>
      <c r="F156" s="275"/>
      <c r="G156" s="248"/>
      <c r="H156" s="248"/>
      <c r="I156" s="248"/>
      <c r="J156" s="248"/>
      <c r="K156" s="248"/>
      <c r="L156" s="248"/>
      <c r="M156" s="248"/>
      <c r="N156" s="248"/>
      <c r="O156" s="248"/>
      <c r="P156" s="248"/>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row>
    <row r="157" spans="1:42" ht="15.75" x14ac:dyDescent="0.3">
      <c r="A157" s="248" t="s">
        <v>100</v>
      </c>
      <c r="B157" s="275"/>
      <c r="C157" s="275"/>
      <c r="D157" s="275"/>
      <c r="E157" s="275"/>
      <c r="F157" s="275"/>
      <c r="G157" s="248">
        <v>7200</v>
      </c>
      <c r="H157" s="289">
        <v>6800</v>
      </c>
      <c r="I157" s="289">
        <v>4800</v>
      </c>
      <c r="J157" s="289">
        <v>2800</v>
      </c>
      <c r="K157" s="289">
        <v>2800</v>
      </c>
      <c r="L157" s="289">
        <v>2800</v>
      </c>
      <c r="M157" s="289">
        <v>2800</v>
      </c>
      <c r="N157" s="289">
        <v>2800</v>
      </c>
      <c r="O157" s="289">
        <v>2800</v>
      </c>
      <c r="P157" s="289">
        <v>2800</v>
      </c>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row>
    <row r="158" spans="1:42" ht="15.75" x14ac:dyDescent="0.3">
      <c r="A158" s="248" t="s">
        <v>97</v>
      </c>
      <c r="B158" s="275"/>
      <c r="C158" s="275"/>
      <c r="D158" s="275"/>
      <c r="E158" s="275"/>
      <c r="F158" s="275"/>
      <c r="G158" s="248"/>
      <c r="H158" s="289"/>
      <c r="I158" s="248">
        <f>H157-I157</f>
        <v>2000</v>
      </c>
      <c r="J158" s="248">
        <f>I157-J157</f>
        <v>2000</v>
      </c>
      <c r="K158" s="248">
        <f t="shared" ref="K158:P158" si="104">J157-K157</f>
        <v>0</v>
      </c>
      <c r="L158" s="248">
        <f t="shared" si="104"/>
        <v>0</v>
      </c>
      <c r="M158" s="248">
        <f t="shared" si="104"/>
        <v>0</v>
      </c>
      <c r="N158" s="248">
        <f t="shared" si="104"/>
        <v>0</v>
      </c>
      <c r="O158" s="248">
        <f t="shared" si="104"/>
        <v>0</v>
      </c>
      <c r="P158" s="248">
        <f t="shared" si="104"/>
        <v>0</v>
      </c>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row>
    <row r="159" spans="1:42" ht="15.75" x14ac:dyDescent="0.3">
      <c r="A159" s="248"/>
      <c r="B159" s="275"/>
      <c r="C159" s="275"/>
      <c r="D159" s="275"/>
      <c r="E159" s="275"/>
      <c r="F159" s="275"/>
      <c r="G159" s="248"/>
      <c r="H159" s="289"/>
      <c r="I159" s="248"/>
      <c r="J159" s="248"/>
      <c r="K159" s="248"/>
      <c r="L159" s="248"/>
      <c r="M159" s="248"/>
      <c r="N159" s="248"/>
      <c r="O159" s="248"/>
      <c r="P159" s="289"/>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row>
    <row r="160" spans="1:42" ht="15.75" x14ac:dyDescent="0.3">
      <c r="A160" s="248" t="s">
        <v>101</v>
      </c>
      <c r="B160" s="275"/>
      <c r="C160" s="275"/>
      <c r="D160" s="275"/>
      <c r="E160" s="275"/>
      <c r="F160" s="275"/>
      <c r="G160" s="248"/>
      <c r="H160" s="289">
        <v>2792</v>
      </c>
      <c r="I160" s="248">
        <f t="shared" ref="I160:O160" si="105">H160-I161</f>
        <v>2392</v>
      </c>
      <c r="J160" s="248">
        <f t="shared" si="105"/>
        <v>2092</v>
      </c>
      <c r="K160" s="248">
        <f t="shared" si="105"/>
        <v>1792</v>
      </c>
      <c r="L160" s="248">
        <f t="shared" si="105"/>
        <v>1592</v>
      </c>
      <c r="M160" s="248">
        <f t="shared" si="105"/>
        <v>1392</v>
      </c>
      <c r="N160" s="248">
        <f t="shared" si="105"/>
        <v>1292</v>
      </c>
      <c r="O160" s="248">
        <f t="shared" si="105"/>
        <v>1192</v>
      </c>
      <c r="P160" s="289">
        <f>ROUND(40%*H160,0)</f>
        <v>1117</v>
      </c>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row>
    <row r="161" spans="1:42" ht="15.75" x14ac:dyDescent="0.3">
      <c r="A161" s="248" t="s">
        <v>102</v>
      </c>
      <c r="B161" s="275"/>
      <c r="C161" s="275"/>
      <c r="D161" s="275"/>
      <c r="E161" s="275"/>
      <c r="F161" s="275"/>
      <c r="G161" s="248"/>
      <c r="H161" s="289"/>
      <c r="I161" s="289">
        <v>400</v>
      </c>
      <c r="J161" s="289">
        <v>300</v>
      </c>
      <c r="K161" s="289">
        <v>300</v>
      </c>
      <c r="L161" s="289">
        <v>200</v>
      </c>
      <c r="M161" s="289">
        <v>200</v>
      </c>
      <c r="N161" s="289">
        <v>100</v>
      </c>
      <c r="O161" s="289">
        <v>100</v>
      </c>
      <c r="P161" s="248">
        <f>O160-P160</f>
        <v>75</v>
      </c>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row>
    <row r="162" spans="1:42" ht="15.75" x14ac:dyDescent="0.3">
      <c r="A162" s="248"/>
      <c r="B162" s="275"/>
      <c r="C162" s="275"/>
      <c r="D162" s="275"/>
      <c r="E162" s="275"/>
      <c r="F162" s="275"/>
      <c r="G162" s="248"/>
      <c r="H162" s="289"/>
      <c r="I162" s="289"/>
      <c r="J162" s="289"/>
      <c r="K162" s="289"/>
      <c r="L162" s="289"/>
      <c r="M162" s="289"/>
      <c r="N162" s="289"/>
      <c r="O162" s="289"/>
      <c r="P162" s="289"/>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row>
    <row r="163" spans="1:42" ht="15.75" x14ac:dyDescent="0.3">
      <c r="A163" s="248" t="s">
        <v>103</v>
      </c>
      <c r="B163" s="275"/>
      <c r="C163" s="275"/>
      <c r="D163" s="275"/>
      <c r="E163" s="275"/>
      <c r="F163" s="275"/>
      <c r="G163" s="248"/>
      <c r="H163" s="289">
        <v>4702</v>
      </c>
      <c r="I163" s="248">
        <f t="shared" ref="I163:O163" si="106">H163-I164</f>
        <v>4202</v>
      </c>
      <c r="J163" s="248">
        <f t="shared" si="106"/>
        <v>3702</v>
      </c>
      <c r="K163" s="248">
        <f t="shared" si="106"/>
        <v>3202</v>
      </c>
      <c r="L163" s="248">
        <f t="shared" si="106"/>
        <v>2802</v>
      </c>
      <c r="M163" s="248">
        <f t="shared" si="106"/>
        <v>2402</v>
      </c>
      <c r="N163" s="248">
        <f t="shared" si="106"/>
        <v>2102</v>
      </c>
      <c r="O163" s="248">
        <f t="shared" si="106"/>
        <v>1902</v>
      </c>
      <c r="P163" s="289">
        <f>ROUND(40%*H163,0)</f>
        <v>1881</v>
      </c>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row>
    <row r="164" spans="1:42" ht="15.75" x14ac:dyDescent="0.3">
      <c r="A164" s="248" t="s">
        <v>104</v>
      </c>
      <c r="B164" s="275"/>
      <c r="C164" s="275"/>
      <c r="D164" s="275"/>
      <c r="E164" s="275"/>
      <c r="F164" s="275"/>
      <c r="G164" s="248"/>
      <c r="H164" s="289"/>
      <c r="I164" s="289">
        <v>500</v>
      </c>
      <c r="J164" s="289">
        <v>500</v>
      </c>
      <c r="K164" s="289">
        <v>500</v>
      </c>
      <c r="L164" s="289">
        <v>400</v>
      </c>
      <c r="M164" s="289">
        <v>400</v>
      </c>
      <c r="N164" s="289">
        <v>300</v>
      </c>
      <c r="O164" s="289">
        <v>200</v>
      </c>
      <c r="P164" s="248">
        <f>O163-P163</f>
        <v>21</v>
      </c>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row>
    <row r="165" spans="1:42" ht="15.75" x14ac:dyDescent="0.3">
      <c r="A165" s="248"/>
      <c r="B165" s="275"/>
      <c r="C165" s="275"/>
      <c r="D165" s="275"/>
      <c r="E165" s="275"/>
      <c r="F165" s="275"/>
      <c r="G165" s="248"/>
      <c r="H165" s="289"/>
      <c r="I165" s="289"/>
      <c r="J165" s="289"/>
      <c r="K165" s="289"/>
      <c r="L165" s="289"/>
      <c r="M165" s="289"/>
      <c r="N165" s="289"/>
      <c r="O165" s="289"/>
      <c r="P165" s="289"/>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row>
    <row r="166" spans="1:42" ht="15.75" x14ac:dyDescent="0.3">
      <c r="A166" s="284" t="s">
        <v>107</v>
      </c>
      <c r="B166" s="285"/>
      <c r="C166" s="285"/>
      <c r="D166" s="285"/>
      <c r="E166" s="285"/>
      <c r="F166" s="285"/>
      <c r="G166" s="284"/>
      <c r="H166" s="291"/>
      <c r="I166" s="291"/>
      <c r="J166" s="291"/>
      <c r="K166" s="291"/>
      <c r="L166" s="291"/>
      <c r="M166" s="291"/>
      <c r="N166" s="291"/>
      <c r="O166" s="291"/>
      <c r="P166" s="291"/>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row>
    <row r="167" spans="1:42" ht="15.75" x14ac:dyDescent="0.3">
      <c r="A167" s="248" t="s">
        <v>28</v>
      </c>
      <c r="B167" s="275"/>
      <c r="C167" s="275"/>
      <c r="D167" s="275"/>
      <c r="E167" s="275"/>
      <c r="F167" s="275"/>
      <c r="G167" s="248"/>
      <c r="H167" s="248">
        <f>50%*H154</f>
        <v>7147</v>
      </c>
      <c r="I167" s="289"/>
      <c r="J167" s="289"/>
      <c r="K167" s="289"/>
      <c r="L167" s="289"/>
      <c r="M167" s="289"/>
      <c r="N167" s="289"/>
      <c r="O167" s="289"/>
      <c r="P167" s="289"/>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row>
    <row r="168" spans="1:42" ht="15.75" x14ac:dyDescent="0.3">
      <c r="A168" s="248" t="s">
        <v>105</v>
      </c>
      <c r="B168" s="275"/>
      <c r="C168" s="275"/>
      <c r="D168" s="275"/>
      <c r="E168" s="275"/>
      <c r="F168" s="275"/>
      <c r="G168" s="248"/>
      <c r="H168" s="305">
        <f>20%*$H$154</f>
        <v>2858.8</v>
      </c>
      <c r="I168" s="289"/>
      <c r="J168" s="289"/>
      <c r="K168" s="289"/>
      <c r="L168" s="289"/>
      <c r="M168" s="289"/>
      <c r="N168" s="289"/>
      <c r="O168" s="289"/>
      <c r="P168" s="289"/>
      <c r="Q168" s="6"/>
      <c r="R168" s="6"/>
      <c r="S168" s="6"/>
      <c r="T168" s="6"/>
      <c r="U168" s="6"/>
      <c r="V168" s="6"/>
      <c r="W168" s="6"/>
      <c r="X168" s="13"/>
      <c r="Y168" s="6"/>
      <c r="Z168" s="6"/>
      <c r="AA168" s="6"/>
      <c r="AB168" s="6"/>
      <c r="AC168" s="6"/>
      <c r="AD168" s="6"/>
      <c r="AE168" s="6"/>
      <c r="AF168" s="6"/>
      <c r="AG168" s="6"/>
      <c r="AH168" s="6"/>
      <c r="AI168" s="6"/>
      <c r="AJ168" s="6"/>
      <c r="AK168" s="6"/>
      <c r="AL168" s="6"/>
      <c r="AM168" s="6"/>
      <c r="AN168" s="6"/>
      <c r="AO168" s="6"/>
      <c r="AP168" s="6"/>
    </row>
    <row r="169" spans="1:42" ht="15.75" x14ac:dyDescent="0.3">
      <c r="A169" s="248" t="s">
        <v>29</v>
      </c>
      <c r="B169" s="275"/>
      <c r="C169" s="275"/>
      <c r="D169" s="275"/>
      <c r="E169" s="275"/>
      <c r="F169" s="275"/>
      <c r="G169" s="248"/>
      <c r="H169" s="305">
        <f>30%*$H$154</f>
        <v>4288.2</v>
      </c>
      <c r="I169" s="289"/>
      <c r="J169" s="289"/>
      <c r="K169" s="289"/>
      <c r="L169" s="289"/>
      <c r="M169" s="289"/>
      <c r="N169" s="289"/>
      <c r="O169" s="289"/>
      <c r="P169" s="289"/>
      <c r="Q169" s="6"/>
      <c r="R169" s="6"/>
      <c r="S169" s="6"/>
      <c r="T169" s="6"/>
      <c r="U169" s="6"/>
      <c r="V169" s="6"/>
      <c r="W169" s="6"/>
      <c r="X169" s="13"/>
      <c r="Y169" s="6"/>
      <c r="Z169" s="6"/>
      <c r="AA169" s="6"/>
      <c r="AB169" s="6"/>
      <c r="AC169" s="6"/>
      <c r="AD169" s="6"/>
      <c r="AE169" s="6"/>
      <c r="AF169" s="6"/>
      <c r="AG169" s="6"/>
      <c r="AH169" s="6"/>
      <c r="AI169" s="6"/>
      <c r="AJ169" s="6"/>
      <c r="AK169" s="6"/>
      <c r="AL169" s="6"/>
      <c r="AM169" s="6"/>
      <c r="AN169" s="6"/>
      <c r="AO169" s="6"/>
      <c r="AP169" s="6"/>
    </row>
    <row r="170" spans="1:42" ht="15.75" x14ac:dyDescent="0.3">
      <c r="A170" s="248"/>
      <c r="B170" s="275"/>
      <c r="C170" s="275"/>
      <c r="D170" s="275"/>
      <c r="E170" s="275"/>
      <c r="F170" s="275"/>
      <c r="G170" s="248"/>
      <c r="H170" s="305"/>
      <c r="I170" s="289"/>
      <c r="J170" s="289"/>
      <c r="K170" s="289"/>
      <c r="L170" s="289"/>
      <c r="M170" s="289"/>
      <c r="N170" s="289"/>
      <c r="O170" s="289"/>
      <c r="P170" s="289"/>
      <c r="Q170" s="6"/>
      <c r="R170" s="6"/>
      <c r="S170" s="6"/>
      <c r="T170" s="6"/>
      <c r="U170" s="6"/>
      <c r="V170" s="6"/>
      <c r="W170" s="6"/>
      <c r="X170" s="13"/>
      <c r="Y170" s="6"/>
      <c r="Z170" s="6"/>
      <c r="AA170" s="6"/>
      <c r="AB170" s="6"/>
      <c r="AC170" s="6"/>
      <c r="AD170" s="6"/>
      <c r="AE170" s="6"/>
      <c r="AF170" s="6"/>
      <c r="AG170" s="6"/>
      <c r="AH170" s="6"/>
      <c r="AI170" s="6"/>
      <c r="AJ170" s="6"/>
      <c r="AK170" s="6"/>
      <c r="AL170" s="6"/>
      <c r="AM170" s="6"/>
      <c r="AN170" s="6"/>
      <c r="AO170" s="6"/>
      <c r="AP170" s="6"/>
    </row>
    <row r="171" spans="1:42" ht="15.75" x14ac:dyDescent="0.3">
      <c r="A171" s="284" t="s">
        <v>114</v>
      </c>
      <c r="B171" s="285"/>
      <c r="C171" s="285"/>
      <c r="D171" s="285"/>
      <c r="E171" s="285"/>
      <c r="F171" s="285"/>
      <c r="G171" s="284"/>
      <c r="H171" s="306"/>
      <c r="I171" s="291"/>
      <c r="J171" s="291"/>
      <c r="K171" s="291"/>
      <c r="L171" s="291"/>
      <c r="M171" s="291"/>
      <c r="N171" s="291"/>
      <c r="O171" s="291"/>
      <c r="P171" s="291"/>
      <c r="Q171" s="6"/>
      <c r="R171" s="6"/>
      <c r="S171" s="6"/>
      <c r="T171" s="6"/>
      <c r="U171" s="6"/>
      <c r="V171" s="6"/>
      <c r="W171" s="6"/>
      <c r="X171" s="13"/>
      <c r="Y171" s="6"/>
      <c r="Z171" s="6"/>
      <c r="AA171" s="6"/>
      <c r="AB171" s="6"/>
      <c r="AC171" s="6"/>
      <c r="AD171" s="6"/>
      <c r="AE171" s="6"/>
      <c r="AF171" s="6"/>
      <c r="AG171" s="6"/>
      <c r="AH171" s="6"/>
      <c r="AI171" s="6"/>
      <c r="AJ171" s="6"/>
      <c r="AK171" s="6"/>
      <c r="AL171" s="6"/>
      <c r="AM171" s="6"/>
      <c r="AN171" s="6"/>
      <c r="AO171" s="6"/>
      <c r="AP171" s="6"/>
    </row>
    <row r="172" spans="1:42" ht="15.75" x14ac:dyDescent="0.3">
      <c r="A172" s="248" t="s">
        <v>28</v>
      </c>
      <c r="B172" s="275"/>
      <c r="C172" s="275"/>
      <c r="D172" s="275"/>
      <c r="E172" s="275"/>
      <c r="F172" s="275"/>
      <c r="G172" s="248"/>
      <c r="H172" s="307">
        <v>0.5</v>
      </c>
      <c r="I172" s="308">
        <f>$H172*I$155</f>
        <v>1450</v>
      </c>
      <c r="J172" s="308">
        <f t="shared" ref="J172:P172" si="107">$H172*J$155</f>
        <v>1400</v>
      </c>
      <c r="K172" s="308">
        <f t="shared" si="107"/>
        <v>400</v>
      </c>
      <c r="L172" s="308">
        <f t="shared" si="107"/>
        <v>300</v>
      </c>
      <c r="M172" s="308">
        <f t="shared" si="107"/>
        <v>300</v>
      </c>
      <c r="N172" s="308">
        <f t="shared" si="107"/>
        <v>200</v>
      </c>
      <c r="O172" s="308">
        <f t="shared" si="107"/>
        <v>150</v>
      </c>
      <c r="P172" s="308">
        <f t="shared" si="107"/>
        <v>48</v>
      </c>
      <c r="Q172" s="6"/>
      <c r="R172" s="6"/>
      <c r="S172" s="6"/>
      <c r="T172" s="6"/>
      <c r="U172" s="6"/>
      <c r="V172" s="6"/>
      <c r="W172" s="6"/>
      <c r="X172" s="13"/>
      <c r="Y172" s="6"/>
      <c r="Z172" s="6"/>
      <c r="AA172" s="6"/>
      <c r="AB172" s="6"/>
      <c r="AC172" s="6"/>
      <c r="AD172" s="6"/>
      <c r="AE172" s="6"/>
      <c r="AF172" s="6"/>
      <c r="AG172" s="6"/>
      <c r="AH172" s="6"/>
      <c r="AI172" s="6"/>
      <c r="AJ172" s="6"/>
      <c r="AK172" s="6"/>
      <c r="AL172" s="6"/>
      <c r="AM172" s="6"/>
      <c r="AN172" s="6"/>
      <c r="AO172" s="6"/>
      <c r="AP172" s="6"/>
    </row>
    <row r="173" spans="1:42" ht="15.75" x14ac:dyDescent="0.3">
      <c r="A173" s="248" t="s">
        <v>105</v>
      </c>
      <c r="B173" s="275"/>
      <c r="C173" s="275"/>
      <c r="D173" s="275"/>
      <c r="E173" s="275"/>
      <c r="F173" s="275"/>
      <c r="G173" s="248"/>
      <c r="H173" s="307">
        <v>0.2</v>
      </c>
      <c r="I173" s="308">
        <f t="shared" ref="I173:P174" si="108">$H173*I$155</f>
        <v>580</v>
      </c>
      <c r="J173" s="308">
        <f t="shared" si="108"/>
        <v>560</v>
      </c>
      <c r="K173" s="308">
        <f t="shared" si="108"/>
        <v>160</v>
      </c>
      <c r="L173" s="308">
        <f t="shared" si="108"/>
        <v>120</v>
      </c>
      <c r="M173" s="308">
        <f t="shared" si="108"/>
        <v>120</v>
      </c>
      <c r="N173" s="308">
        <f t="shared" si="108"/>
        <v>80</v>
      </c>
      <c r="O173" s="308">
        <f t="shared" si="108"/>
        <v>60</v>
      </c>
      <c r="P173" s="308">
        <f t="shared" si="108"/>
        <v>19.200000000000003</v>
      </c>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row>
    <row r="174" spans="1:42" ht="15.75" x14ac:dyDescent="0.3">
      <c r="A174" s="248" t="s">
        <v>106</v>
      </c>
      <c r="B174" s="275"/>
      <c r="C174" s="275"/>
      <c r="D174" s="275"/>
      <c r="E174" s="275"/>
      <c r="F174" s="275"/>
      <c r="G174" s="248"/>
      <c r="H174" s="307">
        <v>0.3</v>
      </c>
      <c r="I174" s="308">
        <f t="shared" si="108"/>
        <v>870</v>
      </c>
      <c r="J174" s="308">
        <f t="shared" si="108"/>
        <v>840</v>
      </c>
      <c r="K174" s="308">
        <f t="shared" si="108"/>
        <v>240</v>
      </c>
      <c r="L174" s="308">
        <f t="shared" si="108"/>
        <v>180</v>
      </c>
      <c r="M174" s="308">
        <f t="shared" si="108"/>
        <v>180</v>
      </c>
      <c r="N174" s="308">
        <f t="shared" si="108"/>
        <v>120</v>
      </c>
      <c r="O174" s="308">
        <f t="shared" si="108"/>
        <v>90</v>
      </c>
      <c r="P174" s="308">
        <f t="shared" si="108"/>
        <v>28.799999999999997</v>
      </c>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row>
    <row r="175" spans="1:42" ht="15.75" x14ac:dyDescent="0.3">
      <c r="A175" s="248"/>
      <c r="B175" s="248"/>
      <c r="C175" s="248"/>
      <c r="D175" s="248"/>
      <c r="E175" s="248"/>
      <c r="F175" s="248"/>
      <c r="G175" s="248"/>
      <c r="H175" s="248"/>
      <c r="I175" s="248"/>
      <c r="J175" s="248"/>
      <c r="K175" s="248"/>
      <c r="L175" s="248"/>
      <c r="M175" s="248"/>
      <c r="N175" s="248"/>
      <c r="O175" s="248"/>
      <c r="P175" s="248"/>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row>
    <row r="176" spans="1:42" ht="15.75" x14ac:dyDescent="0.3">
      <c r="A176" s="248" t="s">
        <v>92</v>
      </c>
      <c r="B176" s="309">
        <v>18.690000000000001</v>
      </c>
      <c r="C176" s="309">
        <v>18.739999999999998</v>
      </c>
      <c r="D176" s="309">
        <v>19.23</v>
      </c>
      <c r="E176" s="309">
        <v>19.24755069839015</v>
      </c>
      <c r="F176" s="309">
        <v>21.483558193473193</v>
      </c>
      <c r="G176" s="309">
        <v>20.285521077724361</v>
      </c>
      <c r="H176" s="309">
        <v>20.170000000000002</v>
      </c>
      <c r="I176" s="310">
        <v>17.8</v>
      </c>
      <c r="J176" s="310">
        <f>I176*1.01</f>
        <v>17.978000000000002</v>
      </c>
      <c r="K176" s="310">
        <f t="shared" ref="K176:P176" si="109">J176*1.02</f>
        <v>18.337560000000003</v>
      </c>
      <c r="L176" s="310">
        <f t="shared" si="109"/>
        <v>18.704311200000003</v>
      </c>
      <c r="M176" s="310">
        <f t="shared" si="109"/>
        <v>19.078397424000002</v>
      </c>
      <c r="N176" s="310">
        <f t="shared" si="109"/>
        <v>19.459965372480003</v>
      </c>
      <c r="O176" s="310">
        <f t="shared" si="109"/>
        <v>19.849164679929604</v>
      </c>
      <c r="P176" s="310">
        <f t="shared" si="109"/>
        <v>20.246147973528196</v>
      </c>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row>
    <row r="177" spans="1:42" ht="15.75" x14ac:dyDescent="0.3">
      <c r="A177" s="248" t="s">
        <v>118</v>
      </c>
      <c r="B177" s="309">
        <v>3.4788738461538458</v>
      </c>
      <c r="C177" s="309">
        <v>3.1928973076923075</v>
      </c>
      <c r="D177" s="309">
        <v>3.6562015675990676</v>
      </c>
      <c r="E177" s="309">
        <v>3.9448854336028552</v>
      </c>
      <c r="F177" s="309">
        <v>5.1586941724941724</v>
      </c>
      <c r="G177" s="309">
        <v>5.399662368152681</v>
      </c>
      <c r="H177" s="309">
        <v>5.1129665914554208</v>
      </c>
      <c r="I177" s="310">
        <v>5</v>
      </c>
      <c r="J177" s="310">
        <f>I177*1.01</f>
        <v>5.05</v>
      </c>
      <c r="K177" s="310">
        <f t="shared" ref="K177:P177" si="110">J177*1.02</f>
        <v>5.1509999999999998</v>
      </c>
      <c r="L177" s="310">
        <f t="shared" si="110"/>
        <v>5.2540199999999997</v>
      </c>
      <c r="M177" s="310">
        <f>L177*1.02</f>
        <v>5.3591004</v>
      </c>
      <c r="N177" s="310">
        <f t="shared" si="110"/>
        <v>5.4662824079999996</v>
      </c>
      <c r="O177" s="310">
        <f t="shared" si="110"/>
        <v>5.5756080561600001</v>
      </c>
      <c r="P177" s="310">
        <f t="shared" si="110"/>
        <v>5.6871202172832005</v>
      </c>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row>
    <row r="178" spans="1:42" ht="15.75" x14ac:dyDescent="0.3">
      <c r="A178" s="248" t="s">
        <v>264</v>
      </c>
      <c r="B178" s="311">
        <v>676.00669230769222</v>
      </c>
      <c r="C178" s="311">
        <v>648.74834615384611</v>
      </c>
      <c r="D178" s="311">
        <v>642.26894638694625</v>
      </c>
      <c r="E178" s="311">
        <v>703.30001074446409</v>
      </c>
      <c r="F178" s="311">
        <v>791.61887237762244</v>
      </c>
      <c r="G178" s="311">
        <v>760.80641799606644</v>
      </c>
      <c r="H178" s="311">
        <v>873.64797244682416</v>
      </c>
      <c r="I178" s="312">
        <v>837</v>
      </c>
      <c r="J178" s="312">
        <f>I178*1.01</f>
        <v>845.37</v>
      </c>
      <c r="K178" s="312">
        <f t="shared" ref="K178:P178" si="111">J178*1.02</f>
        <v>862.27740000000006</v>
      </c>
      <c r="L178" s="312">
        <f t="shared" si="111"/>
        <v>879.52294800000004</v>
      </c>
      <c r="M178" s="312">
        <f t="shared" si="111"/>
        <v>897.11340696000002</v>
      </c>
      <c r="N178" s="312">
        <f t="shared" si="111"/>
        <v>915.05567509920002</v>
      </c>
      <c r="O178" s="312">
        <f t="shared" si="111"/>
        <v>933.35678860118401</v>
      </c>
      <c r="P178" s="312">
        <f t="shared" si="111"/>
        <v>952.02392437320771</v>
      </c>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row>
    <row r="179" spans="1:42" ht="15.75" x14ac:dyDescent="0.3">
      <c r="A179" s="248" t="s">
        <v>119</v>
      </c>
      <c r="B179" s="313">
        <f t="shared" ref="B179:P179" si="112">B$176/B177</f>
        <v>5.3724282128434142</v>
      </c>
      <c r="C179" s="313">
        <f t="shared" si="112"/>
        <v>5.8692773973192658</v>
      </c>
      <c r="D179" s="313">
        <f t="shared" si="112"/>
        <v>5.2595568500420073</v>
      </c>
      <c r="E179" s="313">
        <f t="shared" si="112"/>
        <v>4.879115255018041</v>
      </c>
      <c r="F179" s="313">
        <f t="shared" si="112"/>
        <v>4.16453417766499</v>
      </c>
      <c r="G179" s="313">
        <f t="shared" si="112"/>
        <v>3.7568128698877135</v>
      </c>
      <c r="H179" s="313">
        <f t="shared" si="112"/>
        <v>3.9448722457344578</v>
      </c>
      <c r="I179" s="313">
        <f t="shared" si="112"/>
        <v>3.56</v>
      </c>
      <c r="J179" s="313">
        <f t="shared" si="112"/>
        <v>3.5600000000000005</v>
      </c>
      <c r="K179" s="313">
        <f t="shared" si="112"/>
        <v>3.5600000000000009</v>
      </c>
      <c r="L179" s="313">
        <f t="shared" si="112"/>
        <v>3.5600000000000009</v>
      </c>
      <c r="M179" s="313">
        <f t="shared" si="112"/>
        <v>3.5600000000000005</v>
      </c>
      <c r="N179" s="313">
        <f t="shared" si="112"/>
        <v>3.5600000000000009</v>
      </c>
      <c r="O179" s="313">
        <f t="shared" si="112"/>
        <v>3.5600000000000005</v>
      </c>
      <c r="P179" s="313">
        <f t="shared" si="112"/>
        <v>3.5600000000000005</v>
      </c>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row>
    <row r="180" spans="1:42" ht="15.75" x14ac:dyDescent="0.3">
      <c r="A180" s="248" t="s">
        <v>265</v>
      </c>
      <c r="B180" s="313">
        <f t="shared" ref="B180:P180" si="113">B$176/B178</f>
        <v>2.7647655286070796E-2</v>
      </c>
      <c r="C180" s="313">
        <f t="shared" si="113"/>
        <v>2.8886393485396167E-2</v>
      </c>
      <c r="D180" s="313">
        <f t="shared" si="113"/>
        <v>2.9940728269952113E-2</v>
      </c>
      <c r="E180" s="313">
        <f t="shared" si="113"/>
        <v>2.7367482446098702E-2</v>
      </c>
      <c r="F180" s="313">
        <f t="shared" si="113"/>
        <v>2.7138764553385972E-2</v>
      </c>
      <c r="G180" s="313">
        <f t="shared" si="113"/>
        <v>2.666318342996581E-2</v>
      </c>
      <c r="H180" s="313">
        <f t="shared" si="113"/>
        <v>2.3087102169435502E-2</v>
      </c>
      <c r="I180" s="313">
        <f t="shared" si="113"/>
        <v>2.1266427718040621E-2</v>
      </c>
      <c r="J180" s="313">
        <f t="shared" si="113"/>
        <v>2.1266427718040624E-2</v>
      </c>
      <c r="K180" s="313">
        <f t="shared" si="113"/>
        <v>2.1266427718040624E-2</v>
      </c>
      <c r="L180" s="313">
        <f t="shared" si="113"/>
        <v>2.1266427718040624E-2</v>
      </c>
      <c r="M180" s="313">
        <f t="shared" si="113"/>
        <v>2.1266427718040624E-2</v>
      </c>
      <c r="N180" s="313">
        <f t="shared" si="113"/>
        <v>2.1266427718040624E-2</v>
      </c>
      <c r="O180" s="313">
        <f t="shared" si="113"/>
        <v>2.1266427718040624E-2</v>
      </c>
      <c r="P180" s="313">
        <f t="shared" si="113"/>
        <v>2.1266427718040624E-2</v>
      </c>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row>
    <row r="181" spans="1:42" ht="15.75" x14ac:dyDescent="0.3">
      <c r="A181" s="248"/>
      <c r="B181" s="313"/>
      <c r="C181" s="313"/>
      <c r="D181" s="313"/>
      <c r="E181" s="313"/>
      <c r="F181" s="313"/>
      <c r="G181" s="313"/>
      <c r="H181" s="313"/>
      <c r="I181" s="313"/>
      <c r="J181" s="313"/>
      <c r="K181" s="313"/>
      <c r="L181" s="313"/>
      <c r="M181" s="313"/>
      <c r="N181" s="313"/>
      <c r="O181" s="313"/>
      <c r="P181" s="313"/>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row>
    <row r="182" spans="1:42" ht="15.75" x14ac:dyDescent="0.3">
      <c r="A182" s="248" t="s">
        <v>268</v>
      </c>
      <c r="B182" s="313"/>
      <c r="C182" s="313"/>
      <c r="D182" s="313"/>
      <c r="E182" s="313"/>
      <c r="F182" s="313"/>
      <c r="G182" s="313"/>
      <c r="H182" s="314">
        <v>6.7500000000000004E-2</v>
      </c>
      <c r="I182" s="314">
        <v>5.1999999999999998E-2</v>
      </c>
      <c r="J182" s="314">
        <v>3.3000000000000002E-2</v>
      </c>
      <c r="K182" s="314">
        <v>0.03</v>
      </c>
      <c r="L182" s="314">
        <v>0.03</v>
      </c>
      <c r="M182" s="314">
        <v>0.03</v>
      </c>
      <c r="N182" s="314">
        <v>0.03</v>
      </c>
      <c r="O182" s="314">
        <v>0.03</v>
      </c>
      <c r="P182" s="314">
        <v>0.03</v>
      </c>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row>
    <row r="183" spans="1:42" ht="15.75" x14ac:dyDescent="0.3">
      <c r="A183" s="248" t="s">
        <v>266</v>
      </c>
      <c r="B183" s="313"/>
      <c r="C183" s="313"/>
      <c r="D183" s="313"/>
      <c r="E183" s="313"/>
      <c r="F183" s="313"/>
      <c r="G183" s="313"/>
      <c r="H183" s="314">
        <v>6.7500000000000004E-2</v>
      </c>
      <c r="I183" s="314">
        <v>2.9000000000000001E-2</v>
      </c>
      <c r="J183" s="314">
        <v>2.3E-2</v>
      </c>
      <c r="K183" s="314">
        <v>0.02</v>
      </c>
      <c r="L183" s="314">
        <v>0.02</v>
      </c>
      <c r="M183" s="314">
        <v>0.02</v>
      </c>
      <c r="N183" s="314">
        <v>0.02</v>
      </c>
      <c r="O183" s="314">
        <v>0.02</v>
      </c>
      <c r="P183" s="314">
        <v>0.02</v>
      </c>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row>
    <row r="184" spans="1:42" ht="15.75" x14ac:dyDescent="0.3">
      <c r="A184" s="248" t="s">
        <v>267</v>
      </c>
      <c r="B184" s="313"/>
      <c r="C184" s="313"/>
      <c r="D184" s="313"/>
      <c r="E184" s="313"/>
      <c r="F184" s="313"/>
      <c r="G184" s="313"/>
      <c r="H184" s="314">
        <v>8.5000000000000006E-2</v>
      </c>
      <c r="I184" s="314">
        <v>4.4999999999999998E-2</v>
      </c>
      <c r="J184" s="314">
        <v>3.3000000000000002E-2</v>
      </c>
      <c r="K184" s="314">
        <v>0.03</v>
      </c>
      <c r="L184" s="314">
        <v>0.03</v>
      </c>
      <c r="M184" s="314">
        <v>0.03</v>
      </c>
      <c r="N184" s="314">
        <v>0.03</v>
      </c>
      <c r="O184" s="314">
        <v>0.03</v>
      </c>
      <c r="P184" s="314">
        <v>0.03</v>
      </c>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row>
    <row r="185" spans="1:42" ht="15.75" x14ac:dyDescent="0.3">
      <c r="A185" s="248"/>
      <c r="B185" s="313"/>
      <c r="C185" s="313"/>
      <c r="D185" s="313"/>
      <c r="E185" s="313"/>
      <c r="F185" s="313"/>
      <c r="G185" s="313"/>
      <c r="H185" s="313"/>
      <c r="I185" s="313"/>
      <c r="J185" s="313"/>
      <c r="K185" s="313"/>
      <c r="L185" s="313"/>
      <c r="M185" s="313"/>
      <c r="N185" s="313"/>
      <c r="O185" s="313"/>
      <c r="P185" s="313"/>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row>
    <row r="186" spans="1:42" ht="15.75" x14ac:dyDescent="0.3">
      <c r="A186" s="248"/>
      <c r="B186" s="313"/>
      <c r="C186" s="313"/>
      <c r="D186" s="313"/>
      <c r="E186" s="313"/>
      <c r="F186" s="313"/>
      <c r="G186" s="313"/>
      <c r="H186" s="313"/>
      <c r="I186" s="313"/>
      <c r="J186" s="313"/>
      <c r="K186" s="313"/>
      <c r="L186" s="313"/>
      <c r="M186" s="313"/>
      <c r="N186" s="313"/>
      <c r="O186" s="313"/>
      <c r="P186" s="313"/>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row>
    <row r="187" spans="1:42" ht="15.75" x14ac:dyDescent="0.3">
      <c r="A187" s="248"/>
      <c r="B187" s="248"/>
      <c r="C187" s="248"/>
      <c r="D187" s="248"/>
      <c r="E187" s="248"/>
      <c r="F187" s="248"/>
      <c r="G187" s="248"/>
      <c r="H187" s="248"/>
      <c r="I187" s="248"/>
      <c r="J187" s="248"/>
      <c r="K187" s="248"/>
      <c r="L187" s="248"/>
      <c r="M187" s="248"/>
      <c r="N187" s="248"/>
      <c r="O187" s="248"/>
      <c r="P187" s="248"/>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row>
    <row r="188" spans="1:42" ht="15.75" x14ac:dyDescent="0.3">
      <c r="A188" s="248" t="s">
        <v>9</v>
      </c>
      <c r="B188" s="275"/>
      <c r="C188" s="275"/>
      <c r="D188" s="275"/>
      <c r="E188" s="275"/>
      <c r="F188" s="275"/>
      <c r="G188" s="279">
        <v>213993.44099999999</v>
      </c>
      <c r="H188" s="279">
        <v>215353.58799999999</v>
      </c>
      <c r="I188" s="279">
        <v>216641.83900000001</v>
      </c>
      <c r="J188" s="279">
        <v>217863.03599999999</v>
      </c>
      <c r="K188" s="279">
        <v>219020.908</v>
      </c>
      <c r="L188" s="279">
        <v>220114.734</v>
      </c>
      <c r="M188" s="279">
        <v>221142.80600000001</v>
      </c>
      <c r="N188" s="279">
        <v>222106.891</v>
      </c>
      <c r="O188" s="279">
        <v>223009.378</v>
      </c>
      <c r="P188" s="279">
        <v>223852.11600000001</v>
      </c>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row>
    <row r="189" spans="1:42" ht="15.75" x14ac:dyDescent="0.3">
      <c r="A189" s="248" t="s">
        <v>10</v>
      </c>
      <c r="B189" s="275"/>
      <c r="C189" s="275"/>
      <c r="D189" s="275"/>
      <c r="E189" s="275"/>
      <c r="F189" s="275"/>
      <c r="G189" s="275">
        <f>G188*1000/G83</f>
        <v>3184.8574881419959</v>
      </c>
      <c r="H189" s="275">
        <f>H188*1000/H81</f>
        <v>83651.470907007708</v>
      </c>
      <c r="I189" s="275">
        <f t="shared" ref="I189:P189" si="114">I188*1000/I83</f>
        <v>3043.1113948552415</v>
      </c>
      <c r="J189" s="275">
        <f t="shared" si="114"/>
        <v>2976.6410305106238</v>
      </c>
      <c r="K189" s="275">
        <f t="shared" si="114"/>
        <v>2912.8645620680159</v>
      </c>
      <c r="L189" s="275">
        <f t="shared" si="114"/>
        <v>2851.56325421779</v>
      </c>
      <c r="M189" s="275">
        <f t="shared" si="114"/>
        <v>2792.5280051116983</v>
      </c>
      <c r="N189" s="275">
        <f t="shared" si="114"/>
        <v>2735.6131167409153</v>
      </c>
      <c r="O189" s="275">
        <f t="shared" si="114"/>
        <v>2680.6943788322997</v>
      </c>
      <c r="P189" s="275">
        <f t="shared" si="114"/>
        <v>2627.652906589788</v>
      </c>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row>
    <row r="190" spans="1:42" ht="15.75" x14ac:dyDescent="0.3">
      <c r="A190" s="248" t="s">
        <v>11</v>
      </c>
      <c r="B190" s="275"/>
      <c r="C190" s="275"/>
      <c r="D190" s="275"/>
      <c r="E190" s="275"/>
      <c r="F190" s="275"/>
      <c r="G190" s="275">
        <f t="shared" ref="G190:P190" si="115">G188*1000/G128</f>
        <v>2229.4002416993967</v>
      </c>
      <c r="H190" s="275">
        <f t="shared" si="115"/>
        <v>2124.0294422852544</v>
      </c>
      <c r="I190" s="275">
        <f t="shared" si="115"/>
        <v>2110.4354309561659</v>
      </c>
      <c r="J190" s="275">
        <f t="shared" si="115"/>
        <v>2024.6156366543817</v>
      </c>
      <c r="K190" s="275">
        <f t="shared" si="115"/>
        <v>1911.7646310337016</v>
      </c>
      <c r="L190" s="275">
        <f t="shared" si="115"/>
        <v>1836.9575230877845</v>
      </c>
      <c r="M190" s="275">
        <f t="shared" si="115"/>
        <v>1769.285845596014</v>
      </c>
      <c r="N190" s="275">
        <f t="shared" si="115"/>
        <v>1702.5259385033803</v>
      </c>
      <c r="O190" s="275">
        <f t="shared" si="115"/>
        <v>1640.6443932311627</v>
      </c>
      <c r="P190" s="275">
        <f t="shared" si="115"/>
        <v>1580.811697890374</v>
      </c>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row>
    <row r="191" spans="1:42" ht="15.75" x14ac:dyDescent="0.3">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row>
    <row r="192" spans="1:42" ht="15.75" x14ac:dyDescent="0.3">
      <c r="A192" s="66" t="s">
        <v>116</v>
      </c>
      <c r="B192" s="24"/>
      <c r="C192" s="24"/>
      <c r="D192" s="24"/>
      <c r="E192" s="24"/>
      <c r="F192" s="24"/>
      <c r="G192" s="24"/>
      <c r="H192" s="24"/>
      <c r="I192" s="24"/>
      <c r="J192" s="24"/>
      <c r="K192" s="24"/>
      <c r="L192" s="24"/>
      <c r="M192" s="24"/>
      <c r="N192" s="24"/>
      <c r="O192" s="24"/>
      <c r="P192" s="24"/>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row>
    <row r="193" spans="1:42" ht="15.75" x14ac:dyDescent="0.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row>
    <row r="194" spans="1:42" ht="15.75" x14ac:dyDescent="0.3">
      <c r="A194" s="20" t="s">
        <v>35</v>
      </c>
      <c r="B194" s="20"/>
      <c r="C194" s="20"/>
      <c r="D194" s="20"/>
      <c r="E194" s="20"/>
      <c r="F194" s="20"/>
      <c r="G194" s="34">
        <f>G195</f>
        <v>875.17682577526693</v>
      </c>
      <c r="H194" s="34">
        <f>H195</f>
        <v>890.56670435874059</v>
      </c>
      <c r="I194" s="34">
        <f t="shared" ref="I194:P194" si="116">I195</f>
        <v>970.37473265015228</v>
      </c>
      <c r="J194" s="34">
        <f t="shared" si="116"/>
        <v>1028.5227999380186</v>
      </c>
      <c r="K194" s="34">
        <f t="shared" si="116"/>
        <v>1100.2639346583039</v>
      </c>
      <c r="L194" s="34">
        <f t="shared" si="116"/>
        <v>1172.6703488623273</v>
      </c>
      <c r="M194" s="34">
        <f t="shared" si="116"/>
        <v>1248.9094662708412</v>
      </c>
      <c r="N194" s="34">
        <f t="shared" si="116"/>
        <v>1329.1604399801354</v>
      </c>
      <c r="O194" s="34">
        <f t="shared" si="116"/>
        <v>1413.6101535396956</v>
      </c>
      <c r="P194" s="34">
        <f t="shared" si="116"/>
        <v>1502.4535364626201</v>
      </c>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row>
    <row r="195" spans="1:42" ht="15.75" x14ac:dyDescent="0.3">
      <c r="A195" s="233" t="s">
        <v>259</v>
      </c>
      <c r="B195" s="6"/>
      <c r="C195" s="6"/>
      <c r="D195" s="6"/>
      <c r="E195" s="6"/>
      <c r="F195" s="6"/>
      <c r="G195" s="12">
        <f>G229/G179</f>
        <v>875.17682577526693</v>
      </c>
      <c r="H195" s="12">
        <f>H229/H179</f>
        <v>890.56670435874059</v>
      </c>
      <c r="I195" s="12">
        <f>12*I197*AVERAGE(H30:I30)/1000</f>
        <v>970.37473265015228</v>
      </c>
      <c r="J195" s="12">
        <f>12*J197*AVERAGE(I30:J30)/1000</f>
        <v>1028.5227999380186</v>
      </c>
      <c r="K195" s="12">
        <f t="shared" ref="K195:P195" si="117">12*K197*AVERAGE(J30:K30)/1000</f>
        <v>1100.2639346583039</v>
      </c>
      <c r="L195" s="12">
        <f t="shared" si="117"/>
        <v>1172.6703488623273</v>
      </c>
      <c r="M195" s="12">
        <f t="shared" si="117"/>
        <v>1248.9094662708412</v>
      </c>
      <c r="N195" s="12">
        <f t="shared" si="117"/>
        <v>1329.1604399801354</v>
      </c>
      <c r="O195" s="12">
        <f t="shared" si="117"/>
        <v>1413.6101535396956</v>
      </c>
      <c r="P195" s="12">
        <f t="shared" si="117"/>
        <v>1502.4535364626201</v>
      </c>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row>
    <row r="196" spans="1:42" ht="15.75" x14ac:dyDescent="0.3">
      <c r="A196" s="233"/>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row>
    <row r="197" spans="1:42" ht="15.75" x14ac:dyDescent="0.3">
      <c r="A197" s="6" t="s">
        <v>260</v>
      </c>
      <c r="B197" s="6"/>
      <c r="C197" s="6"/>
      <c r="D197" s="6"/>
      <c r="E197" s="6"/>
      <c r="F197" s="6"/>
      <c r="G197" s="8"/>
      <c r="H197" s="8">
        <f>(H195/AVERAGE(G30:H30)*1000)/12</f>
        <v>5.0798031451850187</v>
      </c>
      <c r="I197" s="8">
        <f>(1+H198)*H197</f>
        <v>5.4226898574850066</v>
      </c>
      <c r="J197" s="8">
        <f t="shared" ref="J197:P197" si="118">(1+I198)*I197</f>
        <v>5.7046697300742268</v>
      </c>
      <c r="K197" s="8">
        <f t="shared" si="118"/>
        <v>5.8929238311666756</v>
      </c>
      <c r="L197" s="8">
        <f t="shared" si="118"/>
        <v>6.0697115461016757</v>
      </c>
      <c r="M197" s="8">
        <f t="shared" si="118"/>
        <v>6.2518028924847258</v>
      </c>
      <c r="N197" s="8">
        <f t="shared" si="118"/>
        <v>6.4393569792592675</v>
      </c>
      <c r="O197" s="8">
        <f t="shared" si="118"/>
        <v>6.6325376886370453</v>
      </c>
      <c r="P197" s="8">
        <f t="shared" si="118"/>
        <v>6.8315138192961564</v>
      </c>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row>
    <row r="198" spans="1:42" ht="15.75" x14ac:dyDescent="0.3">
      <c r="A198" s="315" t="s">
        <v>261</v>
      </c>
      <c r="B198" s="24"/>
      <c r="C198" s="24"/>
      <c r="D198" s="24"/>
      <c r="E198" s="24"/>
      <c r="F198" s="24"/>
      <c r="G198" s="316">
        <v>0.1</v>
      </c>
      <c r="H198" s="317">
        <f>H182</f>
        <v>6.7500000000000004E-2</v>
      </c>
      <c r="I198" s="317">
        <f t="shared" ref="I198:P198" si="119">I182</f>
        <v>5.1999999999999998E-2</v>
      </c>
      <c r="J198" s="317">
        <f t="shared" si="119"/>
        <v>3.3000000000000002E-2</v>
      </c>
      <c r="K198" s="317">
        <f t="shared" si="119"/>
        <v>0.03</v>
      </c>
      <c r="L198" s="317">
        <f t="shared" si="119"/>
        <v>0.03</v>
      </c>
      <c r="M198" s="317">
        <f t="shared" si="119"/>
        <v>0.03</v>
      </c>
      <c r="N198" s="317">
        <f t="shared" si="119"/>
        <v>0.03</v>
      </c>
      <c r="O198" s="317">
        <f t="shared" si="119"/>
        <v>0.03</v>
      </c>
      <c r="P198" s="317">
        <f t="shared" si="119"/>
        <v>0.03</v>
      </c>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row>
    <row r="199" spans="1:42" ht="15.75" x14ac:dyDescent="0.3">
      <c r="A199" s="233"/>
      <c r="B199" s="6"/>
      <c r="C199" s="6"/>
      <c r="D199" s="6"/>
      <c r="E199" s="6"/>
      <c r="F199" s="6"/>
      <c r="G199" s="318"/>
      <c r="H199" s="318"/>
      <c r="I199" s="318"/>
      <c r="J199" s="318"/>
      <c r="K199" s="318"/>
      <c r="L199" s="318"/>
      <c r="M199" s="318"/>
      <c r="N199" s="318"/>
      <c r="O199" s="318"/>
      <c r="P199" s="318"/>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row>
    <row r="200" spans="1:42" ht="15.75" x14ac:dyDescent="0.3">
      <c r="A200" s="233"/>
      <c r="B200" s="6"/>
      <c r="C200" s="6"/>
      <c r="D200" s="6"/>
      <c r="E200" s="6"/>
      <c r="F200" s="6"/>
      <c r="G200" s="318"/>
      <c r="H200" s="318"/>
      <c r="I200" s="318"/>
      <c r="J200" s="318"/>
      <c r="K200" s="318"/>
      <c r="L200" s="318"/>
      <c r="M200" s="318"/>
      <c r="N200" s="318"/>
      <c r="O200" s="318"/>
      <c r="P200" s="318"/>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row>
    <row r="201" spans="1:42" ht="15.75" x14ac:dyDescent="0.3">
      <c r="A201" s="66" t="s">
        <v>282</v>
      </c>
      <c r="B201" s="24"/>
      <c r="C201" s="24"/>
      <c r="D201" s="24"/>
      <c r="E201" s="24"/>
      <c r="F201" s="24"/>
      <c r="G201" s="24"/>
      <c r="H201" s="24"/>
      <c r="I201" s="24"/>
      <c r="J201" s="24"/>
      <c r="K201" s="24"/>
      <c r="L201" s="24"/>
      <c r="M201" s="24"/>
      <c r="N201" s="24"/>
      <c r="O201" s="24"/>
      <c r="P201" s="24"/>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row>
    <row r="202" spans="1:42" ht="15.75" x14ac:dyDescent="0.3">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row>
    <row r="203" spans="1:42" ht="15.75" x14ac:dyDescent="0.3">
      <c r="A203" s="20" t="s">
        <v>35</v>
      </c>
      <c r="B203" s="20"/>
      <c r="C203" s="20"/>
      <c r="D203" s="20"/>
      <c r="E203" s="20"/>
      <c r="F203" s="20"/>
      <c r="G203" s="34">
        <f t="shared" ref="G203:P203" si="120">G204</f>
        <v>9.4885494727040065</v>
      </c>
      <c r="H203" s="34">
        <f t="shared" si="120"/>
        <v>10.19680516535375</v>
      </c>
      <c r="I203" s="34">
        <f t="shared" si="120"/>
        <v>11.562272182128849</v>
      </c>
      <c r="J203" s="34">
        <f t="shared" si="120"/>
        <v>12.184117973315105</v>
      </c>
      <c r="K203" s="34">
        <f t="shared" si="120"/>
        <v>12.995656956776568</v>
      </c>
      <c r="L203" s="34">
        <f t="shared" si="120"/>
        <v>13.711920328286395</v>
      </c>
      <c r="M203" s="34">
        <f t="shared" si="120"/>
        <v>14.4516359718739</v>
      </c>
      <c r="N203" s="34">
        <f t="shared" si="120"/>
        <v>15.215455473073595</v>
      </c>
      <c r="O203" s="34">
        <f t="shared" si="120"/>
        <v>16.004047099932528</v>
      </c>
      <c r="P203" s="34">
        <f t="shared" si="120"/>
        <v>16.818096209676586</v>
      </c>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row>
    <row r="204" spans="1:42" ht="15.75" x14ac:dyDescent="0.3">
      <c r="A204" s="233" t="s">
        <v>259</v>
      </c>
      <c r="B204" s="6"/>
      <c r="C204" s="6"/>
      <c r="D204" s="6"/>
      <c r="E204" s="6"/>
      <c r="F204" s="6"/>
      <c r="G204" s="12">
        <f>G242/G176</f>
        <v>9.4885494727040065</v>
      </c>
      <c r="H204" s="12">
        <f>H242/H176</f>
        <v>10.19680516535375</v>
      </c>
      <c r="I204" s="12">
        <f t="shared" ref="I204:P204" si="121">12*I206*AVERAGE(H31:I31)/1000</f>
        <v>11.562272182128849</v>
      </c>
      <c r="J204" s="12">
        <f t="shared" si="121"/>
        <v>12.184117973315105</v>
      </c>
      <c r="K204" s="12">
        <f t="shared" si="121"/>
        <v>12.995656956776568</v>
      </c>
      <c r="L204" s="12">
        <f t="shared" si="121"/>
        <v>13.711920328286395</v>
      </c>
      <c r="M204" s="12">
        <f t="shared" si="121"/>
        <v>14.4516359718739</v>
      </c>
      <c r="N204" s="12">
        <f t="shared" si="121"/>
        <v>15.215455473073595</v>
      </c>
      <c r="O204" s="12">
        <f t="shared" si="121"/>
        <v>16.004047099932528</v>
      </c>
      <c r="P204" s="12">
        <f t="shared" si="121"/>
        <v>16.818096209676586</v>
      </c>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row>
    <row r="205" spans="1:42" ht="15.75" x14ac:dyDescent="0.3">
      <c r="A205" s="233"/>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row>
    <row r="206" spans="1:42" ht="15.75" x14ac:dyDescent="0.3">
      <c r="A206" s="6" t="s">
        <v>273</v>
      </c>
      <c r="B206" s="6"/>
      <c r="C206" s="6"/>
      <c r="D206" s="6"/>
      <c r="E206" s="6"/>
      <c r="F206" s="6"/>
      <c r="G206" s="8"/>
      <c r="H206" s="8">
        <f>(H204/AVERAGE(G31:H31)*1000)/12</f>
        <v>0.17624281586115662</v>
      </c>
      <c r="I206" s="8">
        <f t="shared" ref="I206:P206" si="122">(1+H207)*H206</f>
        <v>0.19386709744727229</v>
      </c>
      <c r="J206" s="8">
        <f t="shared" si="122"/>
        <v>0.19774443939621775</v>
      </c>
      <c r="K206" s="8">
        <f t="shared" si="122"/>
        <v>0.2016993281841421</v>
      </c>
      <c r="L206" s="8">
        <f t="shared" si="122"/>
        <v>0.20573331474782494</v>
      </c>
      <c r="M206" s="8">
        <f t="shared" si="122"/>
        <v>0.20984798104278143</v>
      </c>
      <c r="N206" s="8">
        <f t="shared" si="122"/>
        <v>0.21404494066363708</v>
      </c>
      <c r="O206" s="8">
        <f t="shared" si="122"/>
        <v>0.21832583947690981</v>
      </c>
      <c r="P206" s="8">
        <f t="shared" si="122"/>
        <v>0.22269235626644801</v>
      </c>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row>
    <row r="207" spans="1:42" ht="15.75" x14ac:dyDescent="0.3">
      <c r="A207" s="315" t="s">
        <v>179</v>
      </c>
      <c r="B207" s="24"/>
      <c r="C207" s="24"/>
      <c r="D207" s="24"/>
      <c r="E207" s="24"/>
      <c r="F207" s="24"/>
      <c r="G207" s="316">
        <v>0.02</v>
      </c>
      <c r="H207" s="316">
        <v>0.1</v>
      </c>
      <c r="I207" s="319">
        <v>0.02</v>
      </c>
      <c r="J207" s="319">
        <v>0.02</v>
      </c>
      <c r="K207" s="319">
        <v>0.02</v>
      </c>
      <c r="L207" s="319">
        <v>0.02</v>
      </c>
      <c r="M207" s="319">
        <v>0.02</v>
      </c>
      <c r="N207" s="319">
        <v>0.02</v>
      </c>
      <c r="O207" s="319">
        <v>0.02</v>
      </c>
      <c r="P207" s="319">
        <v>0.02</v>
      </c>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row>
    <row r="208" spans="1:42" ht="15.75" x14ac:dyDescent="0.3">
      <c r="A208" s="233"/>
      <c r="B208" s="6"/>
      <c r="C208" s="6"/>
      <c r="D208" s="6"/>
      <c r="E208" s="6"/>
      <c r="F208" s="6"/>
      <c r="G208" s="318"/>
      <c r="H208" s="318"/>
      <c r="I208" s="318"/>
      <c r="J208" s="318"/>
      <c r="K208" s="318"/>
      <c r="L208" s="318"/>
      <c r="M208" s="318"/>
      <c r="N208" s="318"/>
      <c r="O208" s="318"/>
      <c r="P208" s="318"/>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row>
    <row r="209" spans="1:42" ht="15.75" x14ac:dyDescent="0.3">
      <c r="A209" s="66" t="s">
        <v>263</v>
      </c>
      <c r="B209" s="24"/>
      <c r="C209" s="24"/>
      <c r="D209" s="24"/>
      <c r="E209" s="24"/>
      <c r="F209" s="24"/>
      <c r="G209" s="24"/>
      <c r="H209" s="24"/>
      <c r="I209" s="24"/>
      <c r="J209" s="24"/>
      <c r="K209" s="24"/>
      <c r="L209" s="24"/>
      <c r="M209" s="24"/>
      <c r="N209" s="24"/>
      <c r="O209" s="24"/>
      <c r="P209" s="24"/>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row>
    <row r="210" spans="1:42" ht="15.75" x14ac:dyDescent="0.3">
      <c r="A210" s="6"/>
      <c r="B210" s="6"/>
      <c r="C210" s="6"/>
      <c r="D210" s="6"/>
      <c r="E210" s="6"/>
      <c r="F210" s="6"/>
      <c r="G210" s="6"/>
      <c r="H210" s="14"/>
      <c r="I210" s="14"/>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row>
    <row r="211" spans="1:42" ht="15.75" x14ac:dyDescent="0.3">
      <c r="A211" s="20" t="s">
        <v>35</v>
      </c>
      <c r="B211" s="20"/>
      <c r="C211" s="20"/>
      <c r="D211" s="20"/>
      <c r="E211" s="20"/>
      <c r="F211" s="20"/>
      <c r="G211" s="34">
        <f t="shared" ref="G211:P211" si="123">G212</f>
        <v>26297.601153687599</v>
      </c>
      <c r="H211" s="34">
        <f t="shared" si="123"/>
        <v>32452.094718962642</v>
      </c>
      <c r="I211" s="34">
        <f t="shared" si="123"/>
        <v>36324.485816078013</v>
      </c>
      <c r="J211" s="34">
        <f t="shared" si="123"/>
        <v>41336.887427582755</v>
      </c>
      <c r="K211" s="34">
        <f t="shared" si="123"/>
        <v>44652.118162222025</v>
      </c>
      <c r="L211" s="34">
        <f t="shared" si="123"/>
        <v>47575.039833706505</v>
      </c>
      <c r="M211" s="34">
        <f t="shared" si="123"/>
        <v>50633.149899134056</v>
      </c>
      <c r="N211" s="34">
        <f t="shared" si="123"/>
        <v>53831.929032636916</v>
      </c>
      <c r="O211" s="34">
        <f t="shared" si="123"/>
        <v>57177.065079240725</v>
      </c>
      <c r="P211" s="34">
        <f t="shared" si="123"/>
        <v>60674.460552511409</v>
      </c>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row>
    <row r="212" spans="1:42" ht="15.75" x14ac:dyDescent="0.3">
      <c r="A212" s="233" t="s">
        <v>259</v>
      </c>
      <c r="B212" s="6"/>
      <c r="C212" s="6"/>
      <c r="D212" s="6"/>
      <c r="E212" s="6"/>
      <c r="F212" s="6"/>
      <c r="G212" s="12">
        <f>G233/G180</f>
        <v>26297.601153687599</v>
      </c>
      <c r="H212" s="12">
        <f>H233/H180</f>
        <v>32452.094718962642</v>
      </c>
      <c r="I212" s="12">
        <f>12*I214*AVERAGE(H34:I34)/1000</f>
        <v>36324.485816078013</v>
      </c>
      <c r="J212" s="12">
        <f t="shared" ref="J212:P212" si="124">12*J214*AVERAGE(I34:J34)/1000</f>
        <v>41336.887427582755</v>
      </c>
      <c r="K212" s="12">
        <f t="shared" si="124"/>
        <v>44652.118162222025</v>
      </c>
      <c r="L212" s="12">
        <f t="shared" si="124"/>
        <v>47575.039833706505</v>
      </c>
      <c r="M212" s="12">
        <f t="shared" si="124"/>
        <v>50633.149899134056</v>
      </c>
      <c r="N212" s="12">
        <f t="shared" si="124"/>
        <v>53831.929032636916</v>
      </c>
      <c r="O212" s="12">
        <f t="shared" si="124"/>
        <v>57177.065079240725</v>
      </c>
      <c r="P212" s="12">
        <f t="shared" si="124"/>
        <v>60674.460552511409</v>
      </c>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row>
    <row r="213" spans="1:42" ht="15.75" x14ac:dyDescent="0.3">
      <c r="A213" s="233"/>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row>
    <row r="214" spans="1:42" ht="15.75" x14ac:dyDescent="0.3">
      <c r="A214" s="6" t="s">
        <v>272</v>
      </c>
      <c r="B214" s="6"/>
      <c r="C214" s="6"/>
      <c r="D214" s="6"/>
      <c r="E214" s="6"/>
      <c r="F214" s="6"/>
      <c r="G214" s="8"/>
      <c r="H214" s="8">
        <f>(H212/AVERAGE(G34:H34)*1000)/12</f>
        <v>967.86278789487426</v>
      </c>
      <c r="I214" s="8">
        <f t="shared" ref="I214:P214" si="125">(1+H215)*H214</f>
        <v>1050.1311248659385</v>
      </c>
      <c r="J214" s="8">
        <f t="shared" si="125"/>
        <v>1097.3870254849057</v>
      </c>
      <c r="K214" s="8">
        <f t="shared" si="125"/>
        <v>1133.6007973259075</v>
      </c>
      <c r="L214" s="8">
        <f t="shared" si="125"/>
        <v>1167.6088212456848</v>
      </c>
      <c r="M214" s="8">
        <f t="shared" si="125"/>
        <v>1202.6370858830553</v>
      </c>
      <c r="N214" s="8">
        <f t="shared" si="125"/>
        <v>1238.7161984595471</v>
      </c>
      <c r="O214" s="8">
        <f t="shared" si="125"/>
        <v>1275.8776844133336</v>
      </c>
      <c r="P214" s="8">
        <f t="shared" si="125"/>
        <v>1314.1540149457337</v>
      </c>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row>
    <row r="215" spans="1:42" ht="15.75" x14ac:dyDescent="0.3">
      <c r="A215" s="315" t="s">
        <v>270</v>
      </c>
      <c r="B215" s="24"/>
      <c r="C215" s="24"/>
      <c r="D215" s="24"/>
      <c r="E215" s="24"/>
      <c r="F215" s="24"/>
      <c r="G215" s="316">
        <v>0.04</v>
      </c>
      <c r="H215" s="317">
        <f>H184</f>
        <v>8.5000000000000006E-2</v>
      </c>
      <c r="I215" s="317">
        <f t="shared" ref="I215:P215" si="126">I184</f>
        <v>4.4999999999999998E-2</v>
      </c>
      <c r="J215" s="317">
        <f t="shared" si="126"/>
        <v>3.3000000000000002E-2</v>
      </c>
      <c r="K215" s="317">
        <f t="shared" si="126"/>
        <v>0.03</v>
      </c>
      <c r="L215" s="317">
        <f t="shared" si="126"/>
        <v>0.03</v>
      </c>
      <c r="M215" s="317">
        <f t="shared" si="126"/>
        <v>0.03</v>
      </c>
      <c r="N215" s="317">
        <f t="shared" si="126"/>
        <v>0.03</v>
      </c>
      <c r="O215" s="317">
        <f t="shared" si="126"/>
        <v>0.03</v>
      </c>
      <c r="P215" s="317">
        <f t="shared" si="126"/>
        <v>0.03</v>
      </c>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row>
    <row r="216" spans="1:42" ht="15.75" x14ac:dyDescent="0.3">
      <c r="A216" s="233"/>
      <c r="B216" s="6"/>
      <c r="C216" s="6"/>
      <c r="D216" s="6"/>
      <c r="E216" s="6"/>
      <c r="F216" s="6"/>
      <c r="G216" s="318"/>
      <c r="H216" s="318"/>
      <c r="I216" s="318"/>
      <c r="J216" s="318"/>
      <c r="K216" s="318"/>
      <c r="L216" s="318"/>
      <c r="M216" s="318"/>
      <c r="N216" s="318"/>
      <c r="O216" s="318"/>
      <c r="P216" s="318"/>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row>
    <row r="217" spans="1:42" ht="15.75" x14ac:dyDescent="0.3">
      <c r="A217" s="66" t="s">
        <v>275</v>
      </c>
      <c r="B217" s="24"/>
      <c r="C217" s="24"/>
      <c r="D217" s="24"/>
      <c r="E217" s="24"/>
      <c r="F217" s="24"/>
      <c r="G217" s="24"/>
      <c r="H217" s="24"/>
      <c r="I217" s="24"/>
      <c r="J217" s="24"/>
      <c r="K217" s="24"/>
      <c r="L217" s="24"/>
      <c r="M217" s="24"/>
      <c r="N217" s="24"/>
      <c r="O217" s="24"/>
      <c r="P217" s="24"/>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row>
    <row r="218" spans="1:42" ht="15.75" x14ac:dyDescent="0.3">
      <c r="A218" s="6"/>
      <c r="B218" s="6"/>
      <c r="C218" s="6"/>
      <c r="D218" s="6"/>
      <c r="E218" s="6"/>
      <c r="F218" s="6"/>
      <c r="G218" s="6"/>
      <c r="H218" s="14"/>
      <c r="I218" s="14"/>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row>
    <row r="219" spans="1:42" ht="15.75" x14ac:dyDescent="0.3">
      <c r="A219" s="20" t="s">
        <v>35</v>
      </c>
      <c r="B219" s="20"/>
      <c r="C219" s="20"/>
      <c r="D219" s="20"/>
      <c r="E219" s="20"/>
      <c r="F219" s="20"/>
      <c r="G219" s="34">
        <f t="shared" ref="G219:P219" si="127">G221</f>
        <v>151.41176270884031</v>
      </c>
      <c r="H219" s="34">
        <f t="shared" si="127"/>
        <v>162.71362114159274</v>
      </c>
      <c r="I219" s="34">
        <f t="shared" si="127"/>
        <v>206.2488069994013</v>
      </c>
      <c r="J219" s="34">
        <f t="shared" si="127"/>
        <v>253.57259952993189</v>
      </c>
      <c r="K219" s="34">
        <f t="shared" si="127"/>
        <v>280.75203231887764</v>
      </c>
      <c r="L219" s="34">
        <f t="shared" si="127"/>
        <v>306.67198827926626</v>
      </c>
      <c r="M219" s="34">
        <f t="shared" si="127"/>
        <v>334.08645075316406</v>
      </c>
      <c r="N219" s="34">
        <f t="shared" si="127"/>
        <v>360.84135705375633</v>
      </c>
      <c r="O219" s="34">
        <f t="shared" si="127"/>
        <v>389.05190502753084</v>
      </c>
      <c r="P219" s="34">
        <f t="shared" si="127"/>
        <v>418.77599997892412</v>
      </c>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row>
    <row r="220" spans="1:42" ht="15.75" x14ac:dyDescent="0.3">
      <c r="A220" s="245" t="s">
        <v>281</v>
      </c>
      <c r="B220" s="6"/>
      <c r="C220" s="6"/>
      <c r="D220" s="6"/>
      <c r="E220" s="6"/>
      <c r="F220" s="6"/>
      <c r="G220" s="34"/>
      <c r="H220" s="15">
        <f t="shared" ref="H220:P220" si="128">H219/G219-1</f>
        <v>7.4643199646816871E-2</v>
      </c>
      <c r="I220" s="15">
        <f t="shared" si="128"/>
        <v>0.2675571077108807</v>
      </c>
      <c r="J220" s="15">
        <f t="shared" si="128"/>
        <v>0.22945001825231381</v>
      </c>
      <c r="K220" s="15">
        <f t="shared" si="128"/>
        <v>0.1071860005352725</v>
      </c>
      <c r="L220" s="15">
        <f t="shared" si="128"/>
        <v>9.2323306607265287E-2</v>
      </c>
      <c r="M220" s="15">
        <f t="shared" si="128"/>
        <v>8.9393435076089212E-2</v>
      </c>
      <c r="N220" s="15">
        <f t="shared" si="128"/>
        <v>8.0083781429255874E-2</v>
      </c>
      <c r="O220" s="15">
        <f t="shared" si="128"/>
        <v>7.8179918743548793E-2</v>
      </c>
      <c r="P220" s="15">
        <f t="shared" si="128"/>
        <v>7.6401360762620829E-2</v>
      </c>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row>
    <row r="221" spans="1:42" ht="15.75" x14ac:dyDescent="0.3">
      <c r="A221" s="233" t="s">
        <v>259</v>
      </c>
      <c r="B221" s="6"/>
      <c r="C221" s="6"/>
      <c r="D221" s="6"/>
      <c r="E221" s="6"/>
      <c r="F221" s="6"/>
      <c r="G221" s="12">
        <f>G245/G176</f>
        <v>151.41176270884031</v>
      </c>
      <c r="H221" s="12">
        <f>H245/H176</f>
        <v>162.71362114159274</v>
      </c>
      <c r="I221" s="12">
        <f>12*I223*AVERAGE(H49:I49)/1000</f>
        <v>206.2488069994013</v>
      </c>
      <c r="J221" s="12">
        <f t="shared" ref="J221:P221" si="129">12*J223*AVERAGE(I49:J49)/1000</f>
        <v>253.57259952993189</v>
      </c>
      <c r="K221" s="12">
        <f t="shared" si="129"/>
        <v>280.75203231887764</v>
      </c>
      <c r="L221" s="12">
        <f>12*L223*AVERAGE(K49:L49)/1000</f>
        <v>306.67198827926626</v>
      </c>
      <c r="M221" s="12">
        <f t="shared" si="129"/>
        <v>334.08645075316406</v>
      </c>
      <c r="N221" s="12">
        <f t="shared" si="129"/>
        <v>360.84135705375633</v>
      </c>
      <c r="O221" s="12">
        <f t="shared" si="129"/>
        <v>389.05190502753084</v>
      </c>
      <c r="P221" s="12">
        <f t="shared" si="129"/>
        <v>418.77599997892412</v>
      </c>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row>
    <row r="222" spans="1:42" ht="15.75" x14ac:dyDescent="0.3">
      <c r="A222" s="233"/>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row>
    <row r="223" spans="1:42" ht="15.75" x14ac:dyDescent="0.3">
      <c r="A223" s="6" t="s">
        <v>271</v>
      </c>
      <c r="B223" s="6"/>
      <c r="C223" s="6"/>
      <c r="D223" s="6"/>
      <c r="E223" s="6"/>
      <c r="F223" s="6"/>
      <c r="G223" s="8">
        <f>(G221/AVERAGE(G49)*1000)/12</f>
        <v>0.74380556694351141</v>
      </c>
      <c r="H223" s="8">
        <f>(H221/AVERAGE(G49:H49)*1000)/12</f>
        <v>0.77952090862047463</v>
      </c>
      <c r="I223" s="8">
        <f t="shared" ref="I223:P223" si="130">(1+H224)*H223</f>
        <v>0.83213856995235658</v>
      </c>
      <c r="J223" s="8">
        <f t="shared" si="130"/>
        <v>0.85627058848097481</v>
      </c>
      <c r="K223" s="8">
        <f t="shared" si="130"/>
        <v>0.87596481201603715</v>
      </c>
      <c r="L223" s="8">
        <f t="shared" si="130"/>
        <v>0.89348410825635793</v>
      </c>
      <c r="M223" s="8">
        <f t="shared" si="130"/>
        <v>0.91135379042148512</v>
      </c>
      <c r="N223" s="8">
        <f t="shared" si="130"/>
        <v>0.92958086622991487</v>
      </c>
      <c r="O223" s="8">
        <f t="shared" si="130"/>
        <v>0.94817248355451322</v>
      </c>
      <c r="P223" s="8">
        <f t="shared" si="130"/>
        <v>0.96713593322560354</v>
      </c>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row>
    <row r="224" spans="1:42" ht="15.75" x14ac:dyDescent="0.3">
      <c r="A224" s="315" t="s">
        <v>269</v>
      </c>
      <c r="B224" s="24"/>
      <c r="C224" s="24"/>
      <c r="D224" s="24"/>
      <c r="E224" s="24"/>
      <c r="F224" s="24"/>
      <c r="G224" s="316">
        <v>0.02</v>
      </c>
      <c r="H224" s="317">
        <f>H183</f>
        <v>6.7500000000000004E-2</v>
      </c>
      <c r="I224" s="317">
        <f t="shared" ref="I224:P224" si="131">I183</f>
        <v>2.9000000000000001E-2</v>
      </c>
      <c r="J224" s="317">
        <f t="shared" si="131"/>
        <v>2.3E-2</v>
      </c>
      <c r="K224" s="317">
        <f t="shared" si="131"/>
        <v>0.02</v>
      </c>
      <c r="L224" s="317">
        <f t="shared" si="131"/>
        <v>0.02</v>
      </c>
      <c r="M224" s="317">
        <f t="shared" si="131"/>
        <v>0.02</v>
      </c>
      <c r="N224" s="317">
        <f t="shared" si="131"/>
        <v>0.02</v>
      </c>
      <c r="O224" s="317">
        <f t="shared" si="131"/>
        <v>0.02</v>
      </c>
      <c r="P224" s="317">
        <f t="shared" si="131"/>
        <v>0.02</v>
      </c>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row>
    <row r="225" spans="1:42" ht="15.75" x14ac:dyDescent="0.3">
      <c r="A225" s="6"/>
      <c r="B225" s="6"/>
      <c r="C225" s="6"/>
      <c r="D225" s="6"/>
      <c r="E225" s="6"/>
      <c r="F225" s="6"/>
      <c r="G225" s="6"/>
      <c r="H225" s="320"/>
      <c r="I225" s="320"/>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row>
    <row r="226" spans="1:42" ht="15.75" x14ac:dyDescent="0.3">
      <c r="A226" s="66" t="s">
        <v>120</v>
      </c>
      <c r="B226" s="24"/>
      <c r="C226" s="24"/>
      <c r="D226" s="24"/>
      <c r="E226" s="24"/>
      <c r="F226" s="24"/>
      <c r="G226" s="24"/>
      <c r="H226" s="24"/>
      <c r="I226" s="24"/>
      <c r="J226" s="24"/>
      <c r="K226" s="24"/>
      <c r="L226" s="24"/>
      <c r="M226" s="24"/>
      <c r="N226" s="24"/>
      <c r="O226" s="24"/>
      <c r="P226" s="24"/>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row>
    <row r="227" spans="1:42" ht="15.75" x14ac:dyDescent="0.3">
      <c r="A227" s="6"/>
      <c r="B227" s="6"/>
      <c r="C227" s="6"/>
      <c r="D227" s="6"/>
      <c r="E227" s="6"/>
      <c r="F227" s="6"/>
      <c r="G227" s="6"/>
      <c r="H227" s="21"/>
      <c r="I227" s="321"/>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row>
    <row r="228" spans="1:42" ht="15.75" x14ac:dyDescent="0.3">
      <c r="A228" s="20" t="s">
        <v>258</v>
      </c>
      <c r="B228" s="20"/>
      <c r="C228" s="20"/>
      <c r="D228" s="20"/>
      <c r="E228" s="20"/>
      <c r="F228" s="20"/>
      <c r="G228" s="322">
        <v>7253</v>
      </c>
      <c r="H228" s="322">
        <v>7750</v>
      </c>
      <c r="I228" s="34">
        <f>I229+I242+I233+I245</f>
        <v>8104.0633096683941</v>
      </c>
      <c r="J228" s="34">
        <f t="shared" ref="J228:P228" si="132">J229+J242+J233+J245</f>
        <v>9318.403363620193</v>
      </c>
      <c r="K228" s="34">
        <f t="shared" si="132"/>
        <v>10253.146527691533</v>
      </c>
      <c r="L228" s="34">
        <f t="shared" si="132"/>
        <v>11179.017917824334</v>
      </c>
      <c r="M228" s="34">
        <f t="shared" si="132"/>
        <v>12172.452058331699</v>
      </c>
      <c r="N228" s="34">
        <f t="shared" si="132"/>
        <v>13194.676543881864</v>
      </c>
      <c r="O228" s="34">
        <f t="shared" si="132"/>
        <v>14288.426366602396</v>
      </c>
      <c r="P228" s="34">
        <f t="shared" si="132"/>
        <v>15458.166147307704</v>
      </c>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row>
    <row r="229" spans="1:42" ht="15.75" x14ac:dyDescent="0.3">
      <c r="A229" s="248" t="s">
        <v>12</v>
      </c>
      <c r="B229" s="6"/>
      <c r="C229" s="6"/>
      <c r="D229" s="6"/>
      <c r="E229" s="6"/>
      <c r="F229" s="6"/>
      <c r="G229" s="12">
        <f>$G$228*U229</f>
        <v>3287.8755624999999</v>
      </c>
      <c r="H229" s="12">
        <v>3513.171875</v>
      </c>
      <c r="I229" s="12">
        <f>I195*I179</f>
        <v>3454.5340482345423</v>
      </c>
      <c r="J229" s="12">
        <f t="shared" ref="J229:P229" si="133">J195*J179</f>
        <v>3661.5411677793468</v>
      </c>
      <c r="K229" s="12">
        <f t="shared" si="133"/>
        <v>3916.9396073835628</v>
      </c>
      <c r="L229" s="12">
        <f t="shared" si="133"/>
        <v>4174.7064419498865</v>
      </c>
      <c r="M229" s="12">
        <f t="shared" si="133"/>
        <v>4446.1176999241952</v>
      </c>
      <c r="N229" s="12">
        <f t="shared" si="133"/>
        <v>4731.811166329283</v>
      </c>
      <c r="O229" s="12">
        <f t="shared" si="133"/>
        <v>5032.4521466013166</v>
      </c>
      <c r="P229" s="12">
        <f t="shared" si="133"/>
        <v>5348.7345898069289</v>
      </c>
      <c r="Q229" s="6"/>
      <c r="R229" s="6"/>
      <c r="S229" s="6"/>
      <c r="T229" s="248" t="s">
        <v>12</v>
      </c>
      <c r="U229" s="21">
        <f>H229/H$228</f>
        <v>0.45331250000000001</v>
      </c>
      <c r="V229" s="21">
        <f>I229/I$228</f>
        <v>0.42627184860626371</v>
      </c>
      <c r="W229" s="6"/>
      <c r="X229" s="6"/>
      <c r="Y229" s="6"/>
      <c r="Z229" s="6"/>
      <c r="AA229" s="6"/>
      <c r="AB229" s="6" t="s">
        <v>12</v>
      </c>
      <c r="AC229" s="21">
        <v>0.45365853658536587</v>
      </c>
      <c r="AD229" s="6"/>
      <c r="AE229" s="6"/>
      <c r="AF229" s="6"/>
      <c r="AG229" s="6"/>
      <c r="AH229" s="6"/>
      <c r="AI229" s="6"/>
      <c r="AJ229" s="6"/>
      <c r="AK229" s="6"/>
      <c r="AL229" s="6"/>
      <c r="AM229" s="6"/>
      <c r="AN229" s="6"/>
      <c r="AO229" s="6"/>
      <c r="AP229" s="6"/>
    </row>
    <row r="230" spans="1:42" ht="15.75" x14ac:dyDescent="0.3">
      <c r="A230" s="248" t="s">
        <v>13</v>
      </c>
      <c r="B230" s="6"/>
      <c r="C230" s="6"/>
      <c r="D230" s="6"/>
      <c r="E230" s="6"/>
      <c r="F230" s="6"/>
      <c r="G230" s="12">
        <f t="shared" ref="G230:G243" si="134">$G$228*U230</f>
        <v>940.7959345504778</v>
      </c>
      <c r="H230" s="12">
        <v>1005.2624421296296</v>
      </c>
      <c r="I230" s="21"/>
      <c r="J230" s="21"/>
      <c r="K230" s="21"/>
      <c r="L230" s="12"/>
      <c r="M230" s="12"/>
      <c r="N230" s="12"/>
      <c r="O230" s="12"/>
      <c r="P230" s="12"/>
      <c r="Q230" s="6"/>
      <c r="R230" s="6"/>
      <c r="S230" s="6"/>
      <c r="T230" s="248" t="s">
        <v>13</v>
      </c>
      <c r="U230" s="21">
        <f t="shared" ref="U230:U243" si="135">H230/H$228</f>
        <v>0.12971128285543607</v>
      </c>
      <c r="V230" s="21">
        <f t="shared" ref="V230:V243" si="136">I230/I$228</f>
        <v>0</v>
      </c>
      <c r="W230" s="6"/>
      <c r="X230" s="6"/>
      <c r="Y230" s="6"/>
      <c r="Z230" s="6"/>
      <c r="AA230" s="6"/>
      <c r="AB230" s="6" t="s">
        <v>13</v>
      </c>
      <c r="AC230" s="21">
        <v>0.12981029810298103</v>
      </c>
      <c r="AD230" s="6"/>
      <c r="AE230" s="6"/>
      <c r="AF230" s="6"/>
      <c r="AG230" s="6"/>
      <c r="AH230" s="6"/>
      <c r="AI230" s="6"/>
      <c r="AJ230" s="6"/>
      <c r="AK230" s="6"/>
      <c r="AL230" s="6"/>
      <c r="AM230" s="6"/>
      <c r="AN230" s="6"/>
      <c r="AO230" s="6"/>
      <c r="AP230" s="6"/>
    </row>
    <row r="231" spans="1:42" ht="15.75" x14ac:dyDescent="0.3">
      <c r="A231" s="248" t="s">
        <v>14</v>
      </c>
      <c r="B231" s="6"/>
      <c r="C231" s="6"/>
      <c r="D231" s="6"/>
      <c r="E231" s="6"/>
      <c r="F231" s="6"/>
      <c r="G231" s="12">
        <f t="shared" si="134"/>
        <v>0</v>
      </c>
      <c r="H231" s="12">
        <v>0</v>
      </c>
      <c r="I231" s="12"/>
      <c r="J231" s="12"/>
      <c r="K231" s="12"/>
      <c r="L231" s="12"/>
      <c r="M231" s="12"/>
      <c r="N231" s="12"/>
      <c r="O231" s="12"/>
      <c r="P231" s="12"/>
      <c r="Q231" s="6"/>
      <c r="R231" s="6"/>
      <c r="S231" s="6"/>
      <c r="T231" s="248" t="s">
        <v>14</v>
      </c>
      <c r="U231" s="21">
        <f t="shared" si="135"/>
        <v>0</v>
      </c>
      <c r="V231" s="21">
        <f t="shared" si="136"/>
        <v>0</v>
      </c>
      <c r="W231" s="6"/>
      <c r="X231" s="6"/>
      <c r="Y231" s="6"/>
      <c r="Z231" s="6"/>
      <c r="AA231" s="6"/>
      <c r="AB231" s="6" t="s">
        <v>15</v>
      </c>
      <c r="AC231" s="21">
        <v>7.6151761517615171E-2</v>
      </c>
      <c r="AD231" s="6"/>
      <c r="AE231" s="6"/>
      <c r="AF231" s="6"/>
      <c r="AG231" s="6"/>
      <c r="AH231" s="6"/>
      <c r="AI231" s="6"/>
      <c r="AJ231" s="6"/>
      <c r="AK231" s="6"/>
      <c r="AL231" s="6"/>
      <c r="AM231" s="6"/>
      <c r="AN231" s="6"/>
      <c r="AO231" s="6"/>
      <c r="AP231" s="6"/>
    </row>
    <row r="232" spans="1:42" ht="15.75" x14ac:dyDescent="0.3">
      <c r="A232" s="248" t="s">
        <v>15</v>
      </c>
      <c r="B232" s="6"/>
      <c r="C232" s="6"/>
      <c r="D232" s="6"/>
      <c r="E232" s="6"/>
      <c r="F232" s="6"/>
      <c r="G232" s="12">
        <f t="shared" si="134"/>
        <v>551.90742715800468</v>
      </c>
      <c r="H232" s="12">
        <v>589.72598379629619</v>
      </c>
      <c r="I232" s="12"/>
      <c r="J232" s="12"/>
      <c r="K232" s="12"/>
      <c r="L232" s="12"/>
      <c r="M232" s="12"/>
      <c r="N232" s="12"/>
      <c r="O232" s="12"/>
      <c r="P232" s="12"/>
      <c r="Q232" s="6"/>
      <c r="R232" s="6"/>
      <c r="S232" s="6"/>
      <c r="T232" s="248" t="s">
        <v>15</v>
      </c>
      <c r="U232" s="21">
        <f t="shared" si="135"/>
        <v>7.609367532855435E-2</v>
      </c>
      <c r="V232" s="21">
        <f t="shared" si="136"/>
        <v>0</v>
      </c>
      <c r="W232" s="6"/>
      <c r="X232" s="6"/>
      <c r="Y232" s="6"/>
      <c r="Z232" s="6"/>
      <c r="AA232" s="6"/>
      <c r="AB232" s="6" t="s">
        <v>16</v>
      </c>
      <c r="AC232" s="21">
        <v>9.674796747967479E-2</v>
      </c>
      <c r="AD232" s="6"/>
      <c r="AE232" s="6"/>
      <c r="AF232" s="6"/>
      <c r="AG232" s="6"/>
      <c r="AH232" s="6"/>
      <c r="AI232" s="6"/>
      <c r="AJ232" s="6"/>
      <c r="AK232" s="6"/>
      <c r="AL232" s="6"/>
      <c r="AM232" s="6"/>
      <c r="AN232" s="6"/>
      <c r="AO232" s="6"/>
      <c r="AP232" s="6"/>
    </row>
    <row r="233" spans="1:42" ht="15.75" x14ac:dyDescent="0.3">
      <c r="A233" s="248" t="s">
        <v>16</v>
      </c>
      <c r="B233" s="6"/>
      <c r="C233" s="6"/>
      <c r="D233" s="6"/>
      <c r="E233" s="6"/>
      <c r="F233" s="6"/>
      <c r="G233" s="12">
        <f t="shared" si="134"/>
        <v>701.17776332885296</v>
      </c>
      <c r="H233" s="12">
        <v>749.2248263888888</v>
      </c>
      <c r="I233" s="12">
        <f>I211*I180</f>
        <v>772.49205200261486</v>
      </c>
      <c r="J233" s="12">
        <f t="shared" ref="J233:P233" si="137">J211*J180</f>
        <v>879.08792856747095</v>
      </c>
      <c r="K233" s="12">
        <f t="shared" si="137"/>
        <v>949.59104335430368</v>
      </c>
      <c r="L233" s="12">
        <f t="shared" si="137"/>
        <v>1011.7511458064229</v>
      </c>
      <c r="M233" s="12">
        <f t="shared" si="137"/>
        <v>1076.7862224666503</v>
      </c>
      <c r="N233" s="12">
        <f t="shared" si="137"/>
        <v>1144.8128276952655</v>
      </c>
      <c r="O233" s="12">
        <f t="shared" si="137"/>
        <v>1215.9519216373776</v>
      </c>
      <c r="P233" s="12">
        <f t="shared" si="137"/>
        <v>1290.3290296710911</v>
      </c>
      <c r="Q233" s="6"/>
      <c r="R233" s="6"/>
      <c r="S233" s="6"/>
      <c r="T233" s="248" t="s">
        <v>16</v>
      </c>
      <c r="U233" s="21">
        <f t="shared" si="135"/>
        <v>9.6674171146953397E-2</v>
      </c>
      <c r="V233" s="21">
        <f t="shared" si="136"/>
        <v>9.5321571720819148E-2</v>
      </c>
      <c r="W233" s="6"/>
      <c r="X233" s="6"/>
      <c r="Y233" s="6"/>
      <c r="Z233" s="6"/>
      <c r="AA233" s="6"/>
      <c r="AB233" s="6" t="s">
        <v>17</v>
      </c>
      <c r="AC233" s="21">
        <v>5.9349593495934959E-2</v>
      </c>
      <c r="AD233" s="6"/>
      <c r="AE233" s="6"/>
      <c r="AF233" s="6"/>
      <c r="AG233" s="6"/>
      <c r="AH233" s="6"/>
      <c r="AI233" s="6"/>
      <c r="AJ233" s="6"/>
      <c r="AK233" s="6"/>
      <c r="AL233" s="6"/>
      <c r="AM233" s="6"/>
      <c r="AN233" s="6"/>
      <c r="AO233" s="6"/>
      <c r="AP233" s="6"/>
    </row>
    <row r="234" spans="1:42" ht="15.75" x14ac:dyDescent="0.3">
      <c r="A234" s="248" t="s">
        <v>17</v>
      </c>
      <c r="B234" s="6"/>
      <c r="C234" s="6"/>
      <c r="D234" s="6"/>
      <c r="E234" s="6"/>
      <c r="F234" s="6"/>
      <c r="G234" s="12">
        <f t="shared" si="134"/>
        <v>430.13425817652325</v>
      </c>
      <c r="H234" s="12">
        <v>459.6085069444444</v>
      </c>
      <c r="I234" s="12"/>
      <c r="J234" s="12"/>
      <c r="K234" s="12"/>
      <c r="L234" s="12"/>
      <c r="M234" s="12"/>
      <c r="N234" s="12"/>
      <c r="O234" s="12"/>
      <c r="P234" s="12"/>
      <c r="Q234" s="6"/>
      <c r="R234" s="6"/>
      <c r="S234" s="6"/>
      <c r="T234" s="248" t="s">
        <v>17</v>
      </c>
      <c r="U234" s="21">
        <f t="shared" si="135"/>
        <v>5.9304323476702503E-2</v>
      </c>
      <c r="V234" s="21">
        <f t="shared" si="136"/>
        <v>0</v>
      </c>
      <c r="W234" s="6"/>
      <c r="X234" s="6"/>
      <c r="Y234" s="6"/>
      <c r="Z234" s="6"/>
      <c r="AA234" s="6"/>
      <c r="AB234" s="6" t="s">
        <v>18</v>
      </c>
      <c r="AC234" s="21">
        <v>3.6585365853658534E-2</v>
      </c>
      <c r="AD234" s="6"/>
      <c r="AE234" s="6"/>
      <c r="AF234" s="6"/>
      <c r="AG234" s="6"/>
      <c r="AH234" s="6"/>
      <c r="AI234" s="6"/>
      <c r="AJ234" s="6"/>
      <c r="AK234" s="6"/>
      <c r="AL234" s="6"/>
      <c r="AM234" s="6"/>
      <c r="AN234" s="6"/>
      <c r="AO234" s="6"/>
      <c r="AP234" s="6"/>
    </row>
    <row r="235" spans="1:42" ht="15.75" x14ac:dyDescent="0.3">
      <c r="A235" s="248" t="s">
        <v>18</v>
      </c>
      <c r="B235" s="6"/>
      <c r="C235" s="6"/>
      <c r="D235" s="6"/>
      <c r="E235" s="6"/>
      <c r="F235" s="6"/>
      <c r="G235" s="12">
        <f t="shared" si="134"/>
        <v>265.15125504032255</v>
      </c>
      <c r="H235" s="12">
        <v>283.32031249999994</v>
      </c>
      <c r="I235" s="12"/>
      <c r="J235" s="12"/>
      <c r="K235" s="12"/>
      <c r="L235" s="12"/>
      <c r="M235" s="12"/>
      <c r="N235" s="12"/>
      <c r="O235" s="12"/>
      <c r="P235" s="12"/>
      <c r="Q235" s="6"/>
      <c r="R235" s="6"/>
      <c r="S235" s="6"/>
      <c r="T235" s="248" t="s">
        <v>18</v>
      </c>
      <c r="U235" s="21">
        <f t="shared" si="135"/>
        <v>3.655745967741935E-2</v>
      </c>
      <c r="V235" s="21">
        <f t="shared" si="136"/>
        <v>0</v>
      </c>
      <c r="W235" s="6"/>
      <c r="X235" s="6"/>
      <c r="Y235" s="6"/>
      <c r="Z235" s="6"/>
      <c r="AA235" s="6"/>
      <c r="AB235" s="6" t="s">
        <v>20</v>
      </c>
      <c r="AC235" s="21">
        <v>3.2791327913279135E-2</v>
      </c>
      <c r="AD235" s="6"/>
      <c r="AE235" s="6"/>
      <c r="AF235" s="6"/>
      <c r="AG235" s="6"/>
      <c r="AH235" s="6"/>
      <c r="AI235" s="6"/>
      <c r="AJ235" s="6"/>
      <c r="AK235" s="6"/>
      <c r="AL235" s="6"/>
      <c r="AM235" s="6"/>
      <c r="AN235" s="6"/>
      <c r="AO235" s="6"/>
      <c r="AP235" s="6"/>
    </row>
    <row r="236" spans="1:42" ht="15.75" x14ac:dyDescent="0.3">
      <c r="A236" s="248" t="s">
        <v>19</v>
      </c>
      <c r="B236" s="6"/>
      <c r="C236" s="6"/>
      <c r="D236" s="6"/>
      <c r="E236" s="6"/>
      <c r="F236" s="6"/>
      <c r="G236" s="12">
        <f t="shared" si="134"/>
        <v>0</v>
      </c>
      <c r="H236" s="12">
        <v>0</v>
      </c>
      <c r="I236" s="12"/>
      <c r="J236" s="12"/>
      <c r="K236" s="12"/>
      <c r="L236" s="12"/>
      <c r="M236" s="12"/>
      <c r="N236" s="12"/>
      <c r="O236" s="12"/>
      <c r="P236" s="12"/>
      <c r="Q236" s="6"/>
      <c r="R236" s="6"/>
      <c r="S236" s="6"/>
      <c r="T236" s="248" t="s">
        <v>19</v>
      </c>
      <c r="U236" s="21">
        <f t="shared" si="135"/>
        <v>0</v>
      </c>
      <c r="V236" s="21">
        <f t="shared" si="136"/>
        <v>0</v>
      </c>
      <c r="W236" s="6"/>
      <c r="X236" s="6"/>
      <c r="Y236" s="6"/>
      <c r="Z236" s="6"/>
      <c r="AA236" s="6"/>
      <c r="AB236" s="6" t="s">
        <v>21</v>
      </c>
      <c r="AC236" s="21">
        <v>2.0054200542005421E-2</v>
      </c>
      <c r="AD236" s="6"/>
      <c r="AE236" s="6"/>
      <c r="AF236" s="6"/>
      <c r="AG236" s="6"/>
      <c r="AH236" s="6"/>
      <c r="AI236" s="6"/>
      <c r="AJ236" s="6"/>
      <c r="AK236" s="6"/>
      <c r="AL236" s="6"/>
      <c r="AM236" s="6"/>
      <c r="AN236" s="6"/>
      <c r="AO236" s="6"/>
      <c r="AP236" s="6"/>
    </row>
    <row r="237" spans="1:42" ht="15.75" x14ac:dyDescent="0.3">
      <c r="A237" s="248" t="s">
        <v>20</v>
      </c>
      <c r="B237" s="6"/>
      <c r="C237" s="6"/>
      <c r="D237" s="6"/>
      <c r="E237" s="6"/>
      <c r="F237" s="6"/>
      <c r="G237" s="12">
        <f t="shared" si="134"/>
        <v>237.65408785095582</v>
      </c>
      <c r="H237" s="12">
        <v>253.93894675925927</v>
      </c>
      <c r="I237" s="12"/>
      <c r="J237" s="12"/>
      <c r="K237" s="12"/>
      <c r="L237" s="12"/>
      <c r="M237" s="12"/>
      <c r="N237" s="12"/>
      <c r="O237" s="12"/>
      <c r="P237" s="12"/>
      <c r="Q237" s="6"/>
      <c r="R237" s="6"/>
      <c r="S237" s="6"/>
      <c r="T237" s="248" t="s">
        <v>20</v>
      </c>
      <c r="U237" s="21">
        <f t="shared" si="135"/>
        <v>3.2766315710872164E-2</v>
      </c>
      <c r="V237" s="21">
        <f t="shared" si="136"/>
        <v>0</v>
      </c>
      <c r="W237" s="6"/>
      <c r="X237" s="6"/>
      <c r="Y237" s="6"/>
      <c r="Z237" s="6"/>
      <c r="AA237" s="6"/>
      <c r="AB237" s="6" t="s">
        <v>22</v>
      </c>
      <c r="AC237" s="21">
        <v>2.3306233062330622E-2</v>
      </c>
      <c r="AD237" s="6"/>
      <c r="AE237" s="6"/>
      <c r="AF237" s="6"/>
      <c r="AG237" s="6"/>
      <c r="AH237" s="6"/>
      <c r="AI237" s="6"/>
      <c r="AJ237" s="6"/>
      <c r="AK237" s="6"/>
      <c r="AL237" s="6"/>
      <c r="AM237" s="6"/>
      <c r="AN237" s="6"/>
      <c r="AO237" s="6"/>
      <c r="AP237" s="6"/>
    </row>
    <row r="238" spans="1:42" ht="15.75" x14ac:dyDescent="0.3">
      <c r="A238" s="248" t="s">
        <v>21</v>
      </c>
      <c r="B238" s="6"/>
      <c r="C238" s="6"/>
      <c r="D238" s="6"/>
      <c r="E238" s="6"/>
      <c r="F238" s="6"/>
      <c r="G238" s="12">
        <f t="shared" si="134"/>
        <v>145.34216942951014</v>
      </c>
      <c r="H238" s="12">
        <v>155.30150462962962</v>
      </c>
      <c r="I238" s="12"/>
      <c r="J238" s="12"/>
      <c r="K238" s="12"/>
      <c r="L238" s="12"/>
      <c r="M238" s="12"/>
      <c r="N238" s="12"/>
      <c r="O238" s="12"/>
      <c r="P238" s="12"/>
      <c r="Q238" s="6"/>
      <c r="R238" s="6"/>
      <c r="S238" s="6"/>
      <c r="T238" s="248" t="s">
        <v>21</v>
      </c>
      <c r="U238" s="21">
        <f t="shared" si="135"/>
        <v>2.0038903823178016E-2</v>
      </c>
      <c r="V238" s="21">
        <f t="shared" si="136"/>
        <v>0</v>
      </c>
      <c r="W238" s="6"/>
      <c r="X238" s="6"/>
      <c r="Y238" s="6"/>
      <c r="Z238" s="6"/>
      <c r="AA238" s="6"/>
      <c r="AB238" s="6" t="s">
        <v>23</v>
      </c>
      <c r="AC238" s="21">
        <v>1.4905149051490514E-2</v>
      </c>
      <c r="AD238" s="6"/>
      <c r="AE238" s="6"/>
      <c r="AF238" s="6"/>
      <c r="AG238" s="6"/>
      <c r="AH238" s="6"/>
      <c r="AI238" s="6"/>
      <c r="AJ238" s="6"/>
      <c r="AK238" s="6"/>
      <c r="AL238" s="6"/>
      <c r="AM238" s="6"/>
      <c r="AN238" s="6"/>
      <c r="AO238" s="6"/>
      <c r="AP238" s="6"/>
    </row>
    <row r="239" spans="1:42" ht="15.75" x14ac:dyDescent="0.3">
      <c r="A239" s="248" t="s">
        <v>22</v>
      </c>
      <c r="B239" s="6"/>
      <c r="C239" s="6"/>
      <c r="D239" s="6"/>
      <c r="E239" s="6"/>
      <c r="F239" s="6"/>
      <c r="G239" s="12">
        <f t="shared" si="134"/>
        <v>168.91116987753881</v>
      </c>
      <c r="H239" s="12">
        <v>180.48553240740739</v>
      </c>
      <c r="I239" s="12"/>
      <c r="J239" s="12"/>
      <c r="K239" s="12"/>
      <c r="L239" s="12"/>
      <c r="M239" s="12"/>
      <c r="N239" s="12"/>
      <c r="O239" s="12"/>
      <c r="P239" s="12"/>
      <c r="Q239" s="6"/>
      <c r="R239" s="6"/>
      <c r="S239" s="6"/>
      <c r="T239" s="248" t="s">
        <v>22</v>
      </c>
      <c r="U239" s="21">
        <f t="shared" si="135"/>
        <v>2.3288455794504181E-2</v>
      </c>
      <c r="V239" s="21">
        <f t="shared" si="136"/>
        <v>0</v>
      </c>
      <c r="W239" s="6"/>
      <c r="X239" s="6"/>
      <c r="Y239" s="6"/>
      <c r="Z239" s="6"/>
      <c r="AA239" s="6"/>
      <c r="AB239" s="6" t="s">
        <v>24</v>
      </c>
      <c r="AC239" s="21">
        <v>1.7073170731707318E-2</v>
      </c>
      <c r="AD239" s="6"/>
      <c r="AE239" s="6"/>
      <c r="AF239" s="6"/>
      <c r="AG239" s="6"/>
      <c r="AH239" s="6"/>
      <c r="AI239" s="6"/>
      <c r="AJ239" s="6"/>
      <c r="AK239" s="6"/>
      <c r="AL239" s="6"/>
      <c r="AM239" s="6"/>
      <c r="AN239" s="6"/>
      <c r="AO239" s="6"/>
      <c r="AP239" s="6"/>
    </row>
    <row r="240" spans="1:42" ht="15.75" x14ac:dyDescent="0.3">
      <c r="A240" s="248" t="s">
        <v>23</v>
      </c>
      <c r="B240" s="6"/>
      <c r="C240" s="6"/>
      <c r="D240" s="6"/>
      <c r="E240" s="6"/>
      <c r="F240" s="6"/>
      <c r="G240" s="12">
        <f t="shared" si="134"/>
        <v>108.02458538679808</v>
      </c>
      <c r="H240" s="12">
        <v>115.42679398148147</v>
      </c>
      <c r="I240" s="12"/>
      <c r="J240" s="12"/>
      <c r="K240" s="12"/>
      <c r="L240" s="12"/>
      <c r="M240" s="12"/>
      <c r="N240" s="12"/>
      <c r="O240" s="12"/>
      <c r="P240" s="12"/>
      <c r="Q240" s="6"/>
      <c r="R240" s="6"/>
      <c r="S240" s="6"/>
      <c r="T240" s="248" t="s">
        <v>23</v>
      </c>
      <c r="U240" s="21">
        <f t="shared" si="135"/>
        <v>1.4893779868578254E-2</v>
      </c>
      <c r="V240" s="21">
        <f t="shared" si="136"/>
        <v>0</v>
      </c>
      <c r="W240" s="6"/>
      <c r="X240" s="6"/>
      <c r="Y240" s="6"/>
      <c r="Z240" s="6"/>
      <c r="AA240" s="6"/>
      <c r="AB240" s="6" t="s">
        <v>25</v>
      </c>
      <c r="AC240" s="21">
        <v>2.6558265582655824E-2</v>
      </c>
      <c r="AD240" s="6"/>
      <c r="AE240" s="6"/>
      <c r="AF240" s="6"/>
      <c r="AG240" s="6"/>
      <c r="AH240" s="6"/>
      <c r="AI240" s="6"/>
      <c r="AJ240" s="6"/>
      <c r="AK240" s="6"/>
      <c r="AL240" s="6"/>
      <c r="AM240" s="6"/>
      <c r="AN240" s="6"/>
      <c r="AO240" s="6"/>
      <c r="AP240" s="6"/>
    </row>
    <row r="241" spans="1:42" ht="15.75" x14ac:dyDescent="0.3">
      <c r="A241" s="248" t="s">
        <v>24</v>
      </c>
      <c r="B241" s="6"/>
      <c r="C241" s="6"/>
      <c r="D241" s="6"/>
      <c r="E241" s="6"/>
      <c r="F241" s="6"/>
      <c r="G241" s="12">
        <f t="shared" si="134"/>
        <v>123.73725235215055</v>
      </c>
      <c r="H241" s="12">
        <v>132.21614583333334</v>
      </c>
      <c r="I241" s="12"/>
      <c r="J241" s="12"/>
      <c r="K241" s="12"/>
      <c r="L241" s="12"/>
      <c r="M241" s="12"/>
      <c r="N241" s="12"/>
      <c r="O241" s="12"/>
      <c r="P241" s="12"/>
      <c r="Q241" s="6"/>
      <c r="R241" s="6"/>
      <c r="S241" s="6"/>
      <c r="T241" s="248" t="s">
        <v>24</v>
      </c>
      <c r="U241" s="21">
        <f t="shared" si="135"/>
        <v>1.7060147849462366E-2</v>
      </c>
      <c r="V241" s="21">
        <f t="shared" si="136"/>
        <v>0</v>
      </c>
      <c r="W241" s="6"/>
      <c r="X241" s="6"/>
      <c r="Y241" s="6"/>
      <c r="Z241" s="6"/>
      <c r="AA241" s="6"/>
      <c r="AB241" s="6" t="s">
        <v>98</v>
      </c>
      <c r="AC241" s="21">
        <v>1.3008130081300813E-2</v>
      </c>
      <c r="AD241" s="6"/>
      <c r="AE241" s="6"/>
      <c r="AF241" s="6"/>
      <c r="AG241" s="6"/>
      <c r="AH241" s="6"/>
      <c r="AI241" s="6"/>
      <c r="AJ241" s="6"/>
      <c r="AK241" s="6"/>
      <c r="AL241" s="6"/>
      <c r="AM241" s="6"/>
      <c r="AN241" s="6"/>
      <c r="AO241" s="6"/>
      <c r="AP241" s="6"/>
    </row>
    <row r="242" spans="1:42" ht="15.75" x14ac:dyDescent="0.3">
      <c r="A242" s="248" t="s">
        <v>25</v>
      </c>
      <c r="B242" s="6"/>
      <c r="C242" s="6"/>
      <c r="D242" s="6"/>
      <c r="E242" s="6"/>
      <c r="F242" s="6"/>
      <c r="G242" s="12">
        <f t="shared" si="134"/>
        <v>192.48017032556749</v>
      </c>
      <c r="H242" s="12">
        <v>205.66956018518516</v>
      </c>
      <c r="I242" s="12">
        <f>I204*I176</f>
        <v>205.80844484189353</v>
      </c>
      <c r="J242" s="12">
        <f t="shared" ref="J242:P242" si="138">J204*J176</f>
        <v>219.04607292425899</v>
      </c>
      <c r="K242" s="12">
        <f>K204*K176</f>
        <v>238.30863918430776</v>
      </c>
      <c r="L242" s="12">
        <f t="shared" si="138"/>
        <v>256.47202496987495</v>
      </c>
      <c r="M242" s="12">
        <f t="shared" si="138"/>
        <v>275.71405449838477</v>
      </c>
      <c r="N242" s="12">
        <f t="shared" si="138"/>
        <v>296.09223663252351</v>
      </c>
      <c r="O242" s="12">
        <f t="shared" si="138"/>
        <v>317.66696643191057</v>
      </c>
      <c r="P242" s="12">
        <f t="shared" si="138"/>
        <v>340.50166449414581</v>
      </c>
      <c r="Q242" s="6"/>
      <c r="R242" s="6"/>
      <c r="S242" s="6"/>
      <c r="T242" s="248" t="s">
        <v>25</v>
      </c>
      <c r="U242" s="21">
        <f t="shared" si="135"/>
        <v>2.6538007765830342E-2</v>
      </c>
      <c r="V242" s="21">
        <f t="shared" si="136"/>
        <v>2.5395710395840293E-2</v>
      </c>
      <c r="W242" s="6"/>
      <c r="X242" s="6"/>
      <c r="Y242" s="6"/>
      <c r="Z242" s="6"/>
      <c r="AA242" s="6"/>
      <c r="AB242" s="6"/>
      <c r="AC242" s="6"/>
      <c r="AD242" s="6"/>
      <c r="AE242" s="6"/>
      <c r="AF242" s="6"/>
      <c r="AG242" s="6"/>
      <c r="AH242" s="6"/>
      <c r="AI242" s="6"/>
      <c r="AJ242" s="6"/>
      <c r="AK242" s="6"/>
      <c r="AL242" s="6"/>
      <c r="AM242" s="6"/>
      <c r="AN242" s="6"/>
      <c r="AO242" s="6"/>
      <c r="AP242" s="6"/>
    </row>
    <row r="243" spans="1:42" ht="15.75" x14ac:dyDescent="0.3">
      <c r="A243" s="248" t="s">
        <v>98</v>
      </c>
      <c r="B243" s="6"/>
      <c r="C243" s="6"/>
      <c r="D243" s="6"/>
      <c r="E243" s="6"/>
      <c r="F243" s="6"/>
      <c r="G243" s="12">
        <f t="shared" si="134"/>
        <v>94.276001792114684</v>
      </c>
      <c r="H243" s="12">
        <v>100.7361111111111</v>
      </c>
      <c r="I243" s="12"/>
      <c r="J243" s="12"/>
      <c r="K243" s="21"/>
      <c r="L243" s="12"/>
      <c r="M243" s="12"/>
      <c r="N243" s="12"/>
      <c r="O243" s="12"/>
      <c r="P243" s="12"/>
      <c r="Q243" s="6"/>
      <c r="R243" s="6"/>
      <c r="S243" s="6"/>
      <c r="T243" s="248" t="s">
        <v>98</v>
      </c>
      <c r="U243" s="21">
        <f t="shared" si="135"/>
        <v>1.2998207885304659E-2</v>
      </c>
      <c r="V243" s="21">
        <f t="shared" si="136"/>
        <v>0</v>
      </c>
      <c r="W243" s="6"/>
      <c r="X243" s="6"/>
      <c r="Y243" s="6"/>
      <c r="Z243" s="6"/>
      <c r="AA243" s="6"/>
      <c r="AB243" s="6"/>
      <c r="AC243" s="6"/>
      <c r="AD243" s="6"/>
      <c r="AE243" s="6"/>
      <c r="AF243" s="6"/>
      <c r="AG243" s="6"/>
      <c r="AH243" s="6"/>
      <c r="AI243" s="6"/>
      <c r="AJ243" s="6"/>
      <c r="AK243" s="6"/>
      <c r="AL243" s="6"/>
      <c r="AM243" s="6"/>
      <c r="AN243" s="6"/>
      <c r="AO243" s="6"/>
      <c r="AP243" s="6"/>
    </row>
    <row r="244" spans="1:42" ht="15.75" x14ac:dyDescent="0.3">
      <c r="A244" s="248"/>
      <c r="B244" s="6"/>
      <c r="C244" s="6"/>
      <c r="D244" s="6"/>
      <c r="E244" s="6"/>
      <c r="F244" s="6"/>
      <c r="G244" s="12"/>
      <c r="H244" s="12"/>
      <c r="I244" s="12"/>
      <c r="J244" s="12"/>
      <c r="K244" s="12"/>
      <c r="L244" s="12"/>
      <c r="M244" s="12"/>
      <c r="N244" s="12"/>
      <c r="O244" s="12"/>
      <c r="P244" s="12"/>
      <c r="Q244" s="6"/>
      <c r="R244" s="6"/>
      <c r="S244" s="6"/>
      <c r="T244" s="6"/>
      <c r="U244" s="21"/>
      <c r="V244" s="6"/>
      <c r="W244" s="6"/>
      <c r="X244" s="6"/>
      <c r="Y244" s="6"/>
      <c r="Z244" s="6"/>
      <c r="AA244" s="6"/>
      <c r="AB244" s="6"/>
      <c r="AC244" s="6"/>
      <c r="AD244" s="6"/>
      <c r="AE244" s="6"/>
      <c r="AF244" s="6"/>
      <c r="AG244" s="6"/>
      <c r="AH244" s="6"/>
      <c r="AI244" s="6"/>
      <c r="AJ244" s="6"/>
      <c r="AK244" s="6"/>
      <c r="AL244" s="6"/>
      <c r="AM244" s="6"/>
      <c r="AN244" s="6"/>
      <c r="AO244" s="6"/>
      <c r="AP244" s="6"/>
    </row>
    <row r="245" spans="1:42" ht="15.75" x14ac:dyDescent="0.3">
      <c r="A245" s="248" t="s">
        <v>274</v>
      </c>
      <c r="B245" s="6"/>
      <c r="C245" s="6"/>
      <c r="D245" s="6"/>
      <c r="E245" s="6"/>
      <c r="F245" s="6"/>
      <c r="G245" s="12">
        <f>G228-G229-G242-G233</f>
        <v>3071.4665038455796</v>
      </c>
      <c r="H245" s="12">
        <f>H228-H229-H242-H233</f>
        <v>3281.9337384259261</v>
      </c>
      <c r="I245" s="12">
        <f>I219*I176</f>
        <v>3671.2287645893434</v>
      </c>
      <c r="J245" s="12">
        <f t="shared" ref="J245:P245" si="139">J219*J176</f>
        <v>4558.7281943491162</v>
      </c>
      <c r="K245" s="12">
        <f t="shared" si="139"/>
        <v>5148.3072377693588</v>
      </c>
      <c r="L245" s="12">
        <f t="shared" si="139"/>
        <v>5736.0883050981492</v>
      </c>
      <c r="M245" s="12">
        <f t="shared" si="139"/>
        <v>6373.8340814424691</v>
      </c>
      <c r="N245" s="12">
        <f t="shared" si="139"/>
        <v>7021.9603132247912</v>
      </c>
      <c r="O245" s="12">
        <f t="shared" si="139"/>
        <v>7722.3553319317916</v>
      </c>
      <c r="P245" s="12">
        <f t="shared" si="139"/>
        <v>8478.6008633355377</v>
      </c>
      <c r="Q245" s="6"/>
      <c r="R245" s="6"/>
      <c r="S245" s="6"/>
      <c r="T245" s="6"/>
      <c r="U245" s="21"/>
      <c r="V245" s="6"/>
      <c r="W245" s="6"/>
      <c r="X245" s="6"/>
      <c r="Y245" s="6"/>
      <c r="Z245" s="6"/>
      <c r="AA245" s="6"/>
      <c r="AB245" s="6"/>
      <c r="AC245" s="6"/>
      <c r="AD245" s="6"/>
      <c r="AE245" s="6"/>
      <c r="AF245" s="6"/>
      <c r="AG245" s="6"/>
      <c r="AH245" s="6"/>
      <c r="AI245" s="6"/>
      <c r="AJ245" s="6"/>
      <c r="AK245" s="6"/>
      <c r="AL245" s="6"/>
      <c r="AM245" s="6"/>
      <c r="AN245" s="6"/>
      <c r="AO245" s="6"/>
      <c r="AP245" s="6"/>
    </row>
    <row r="246" spans="1:42" ht="15.75" x14ac:dyDescent="0.3">
      <c r="A246" s="248"/>
      <c r="B246" s="6"/>
      <c r="C246" s="6"/>
      <c r="D246" s="6"/>
      <c r="E246" s="6"/>
      <c r="F246" s="6"/>
      <c r="G246" s="12"/>
      <c r="H246" s="12"/>
      <c r="I246" s="12"/>
      <c r="J246" s="12"/>
      <c r="K246" s="21">
        <f>K245/J245-1</f>
        <v>0.12932972054597802</v>
      </c>
      <c r="L246" s="12"/>
      <c r="M246" s="12"/>
      <c r="N246" s="12"/>
      <c r="O246" s="12"/>
      <c r="P246" s="12"/>
      <c r="Q246" s="6"/>
      <c r="R246" s="6"/>
      <c r="S246" s="6"/>
      <c r="T246" s="6"/>
      <c r="U246" s="21"/>
      <c r="V246" s="6"/>
      <c r="W246" s="6"/>
      <c r="X246" s="6"/>
      <c r="Y246" s="6"/>
      <c r="Z246" s="6"/>
      <c r="AA246" s="6"/>
      <c r="AB246" s="6"/>
      <c r="AC246" s="6"/>
      <c r="AD246" s="6"/>
      <c r="AE246" s="6"/>
      <c r="AF246" s="6"/>
      <c r="AG246" s="6"/>
      <c r="AH246" s="6"/>
      <c r="AI246" s="6"/>
      <c r="AJ246" s="6"/>
      <c r="AK246" s="6"/>
      <c r="AL246" s="6"/>
      <c r="AM246" s="6"/>
      <c r="AN246" s="6"/>
      <c r="AO246" s="6"/>
      <c r="AP246" s="6"/>
    </row>
    <row r="247" spans="1:42" ht="15.75" x14ac:dyDescent="0.3">
      <c r="A247" s="20" t="s">
        <v>262</v>
      </c>
      <c r="B247" s="6"/>
      <c r="C247" s="6"/>
      <c r="D247" s="6"/>
      <c r="E247" s="6"/>
      <c r="F247" s="6"/>
      <c r="G247" s="12">
        <f>G268</f>
        <v>4884</v>
      </c>
      <c r="H247" s="12">
        <f>H268</f>
        <v>3917</v>
      </c>
      <c r="I247" s="12">
        <f t="shared" ref="I247:P247" si="140">12*I248*AVERAGE(H21:I21)/1000</f>
        <v>5313.1114860240396</v>
      </c>
      <c r="J247" s="12">
        <f>12*J248*AVERAGE(I21:J21)/1000</f>
        <v>6157.3856578006116</v>
      </c>
      <c r="K247" s="12">
        <f t="shared" si="140"/>
        <v>6633.538258306432</v>
      </c>
      <c r="L247" s="12">
        <f t="shared" si="140"/>
        <v>7107.361502421888</v>
      </c>
      <c r="M247" s="12">
        <f t="shared" si="140"/>
        <v>7608.2041492463704</v>
      </c>
      <c r="N247" s="12">
        <f t="shared" si="140"/>
        <v>8137.5369982260563</v>
      </c>
      <c r="O247" s="12">
        <f t="shared" si="140"/>
        <v>8696.6580252212188</v>
      </c>
      <c r="P247" s="12">
        <f t="shared" si="140"/>
        <v>9287.1680788596732</v>
      </c>
      <c r="Q247" s="6"/>
      <c r="R247" s="6"/>
      <c r="S247" s="6"/>
      <c r="T247" s="6"/>
      <c r="U247" s="21"/>
      <c r="V247" s="6"/>
      <c r="W247" s="6" t="s">
        <v>276</v>
      </c>
      <c r="X247" s="6"/>
      <c r="Y247" s="6"/>
      <c r="Z247" s="6"/>
      <c r="AA247" s="6"/>
      <c r="AB247" s="6"/>
      <c r="AC247" s="6"/>
      <c r="AD247" s="6"/>
      <c r="AE247" s="6"/>
      <c r="AF247" s="6"/>
      <c r="AG247" s="6"/>
      <c r="AH247" s="6"/>
      <c r="AI247" s="6"/>
      <c r="AJ247" s="6"/>
      <c r="AK247" s="6"/>
      <c r="AL247" s="6"/>
      <c r="AM247" s="6"/>
      <c r="AN247" s="6"/>
      <c r="AO247" s="6"/>
      <c r="AP247" s="6"/>
    </row>
    <row r="248" spans="1:42" ht="15.75" x14ac:dyDescent="0.3">
      <c r="A248" s="233" t="s">
        <v>121</v>
      </c>
      <c r="B248" s="6"/>
      <c r="C248" s="6"/>
      <c r="D248" s="6"/>
      <c r="E248" s="6"/>
      <c r="F248" s="6"/>
      <c r="G248" s="25">
        <f>G247/AVERAGE(G21)*1000/12</f>
        <v>13.991062220694396</v>
      </c>
      <c r="H248" s="25">
        <f>H247/AVERAGE(H21)*1000/12</f>
        <v>10.990090120422431</v>
      </c>
      <c r="I248" s="25">
        <f t="shared" ref="I248:P248" si="141">H248*(1+H249)*(1+H250)</f>
        <v>13.662880037709167</v>
      </c>
      <c r="J248" s="25">
        <f t="shared" si="141"/>
        <v>14.209395239217534</v>
      </c>
      <c r="K248" s="25">
        <f t="shared" si="141"/>
        <v>14.639306555940502</v>
      </c>
      <c r="L248" s="25">
        <f t="shared" si="141"/>
        <v>15.162953462579656</v>
      </c>
      <c r="M248" s="25">
        <f t="shared" si="141"/>
        <v>15.708654702242201</v>
      </c>
      <c r="N248" s="25">
        <f t="shared" si="141"/>
        <v>16.277287707580342</v>
      </c>
      <c r="O248" s="25">
        <f t="shared" si="141"/>
        <v>16.869288473307609</v>
      </c>
      <c r="P248" s="25">
        <f t="shared" si="141"/>
        <v>17.485612011439102</v>
      </c>
      <c r="Q248" s="6"/>
      <c r="R248" s="6"/>
      <c r="S248" s="6"/>
      <c r="T248" s="6"/>
      <c r="U248" s="21"/>
      <c r="V248" s="6"/>
      <c r="W248" s="6"/>
      <c r="X248" s="6"/>
      <c r="Y248" s="6"/>
      <c r="Z248" s="6"/>
      <c r="AA248" s="6"/>
      <c r="AB248" s="6"/>
      <c r="AC248" s="6"/>
      <c r="AD248" s="6"/>
      <c r="AE248" s="6"/>
      <c r="AF248" s="6"/>
      <c r="AG248" s="6"/>
      <c r="AH248" s="6"/>
      <c r="AI248" s="6"/>
      <c r="AJ248" s="6"/>
      <c r="AK248" s="6"/>
      <c r="AL248" s="6"/>
      <c r="AM248" s="6"/>
      <c r="AN248" s="6"/>
      <c r="AO248" s="6"/>
      <c r="AP248" s="6"/>
    </row>
    <row r="249" spans="1:42" ht="15.75" x14ac:dyDescent="0.3">
      <c r="A249" s="323" t="s">
        <v>416</v>
      </c>
      <c r="B249" s="6"/>
      <c r="C249" s="6"/>
      <c r="D249" s="6"/>
      <c r="E249" s="6"/>
      <c r="F249" s="6"/>
      <c r="G249" s="281">
        <v>0.04</v>
      </c>
      <c r="H249" s="281">
        <v>0.05</v>
      </c>
      <c r="I249" s="281">
        <v>0.04</v>
      </c>
      <c r="J249" s="281">
        <v>2.5000000000000001E-2</v>
      </c>
      <c r="K249" s="281">
        <v>2.5000000000000001E-2</v>
      </c>
      <c r="L249" s="281">
        <v>2.5000000000000001E-2</v>
      </c>
      <c r="M249" s="281">
        <v>2.5000000000000001E-2</v>
      </c>
      <c r="N249" s="281">
        <v>2.5000000000000001E-2</v>
      </c>
      <c r="O249" s="281">
        <v>2.5000000000000001E-2</v>
      </c>
      <c r="P249" s="281">
        <v>2.5000000000000001E-2</v>
      </c>
      <c r="Q249" s="6"/>
      <c r="R249" s="6"/>
      <c r="S249" s="6"/>
      <c r="T249" s="6"/>
      <c r="U249" s="21"/>
      <c r="V249" s="6"/>
      <c r="W249" s="6"/>
      <c r="X249" s="6"/>
      <c r="Y249" s="6"/>
      <c r="Z249" s="6"/>
      <c r="AA249" s="6"/>
      <c r="AB249" s="6"/>
      <c r="AC249" s="6"/>
      <c r="AD249" s="6"/>
      <c r="AE249" s="6"/>
      <c r="AF249" s="6"/>
      <c r="AG249" s="6"/>
      <c r="AH249" s="6"/>
      <c r="AI249" s="6"/>
      <c r="AJ249" s="6"/>
      <c r="AK249" s="6"/>
      <c r="AL249" s="6"/>
      <c r="AM249" s="6"/>
      <c r="AN249" s="6"/>
      <c r="AO249" s="6"/>
      <c r="AP249" s="6"/>
    </row>
    <row r="250" spans="1:42" ht="15.75" x14ac:dyDescent="0.3">
      <c r="A250" s="323" t="s">
        <v>417</v>
      </c>
      <c r="B250" s="6"/>
      <c r="C250" s="6"/>
      <c r="D250" s="6"/>
      <c r="E250" s="6"/>
      <c r="F250" s="6"/>
      <c r="G250" s="281">
        <v>0</v>
      </c>
      <c r="H250" s="281">
        <v>0.184</v>
      </c>
      <c r="I250" s="281">
        <v>0</v>
      </c>
      <c r="J250" s="281">
        <f t="shared" ref="J250:P250" si="142">(J228-J229-J233)/J228*(J176/I176-1)</f>
        <v>5.1272456029604809E-3</v>
      </c>
      <c r="K250" s="281">
        <f t="shared" si="142"/>
        <v>1.0507244507635944E-2</v>
      </c>
      <c r="L250" s="281">
        <f t="shared" si="142"/>
        <v>1.0721085473014978E-2</v>
      </c>
      <c r="M250" s="281">
        <f t="shared" si="142"/>
        <v>1.0925568823891044E-2</v>
      </c>
      <c r="N250" s="281">
        <f t="shared" si="142"/>
        <v>1.10924318993641E-2</v>
      </c>
      <c r="O250" s="281">
        <f t="shared" si="142"/>
        <v>1.1253894714615133E-2</v>
      </c>
      <c r="P250" s="281">
        <f t="shared" si="142"/>
        <v>1.1410283010013688E-2</v>
      </c>
      <c r="Q250" s="6"/>
      <c r="R250" s="6"/>
      <c r="S250" s="6"/>
      <c r="T250" s="6"/>
      <c r="U250" s="21"/>
      <c r="V250" s="6"/>
      <c r="W250" s="6"/>
      <c r="X250" s="6"/>
      <c r="Y250" s="6"/>
      <c r="Z250" s="6"/>
      <c r="AA250" s="6"/>
      <c r="AB250" s="6"/>
      <c r="AC250" s="6"/>
      <c r="AD250" s="6"/>
      <c r="AE250" s="6"/>
      <c r="AF250" s="6"/>
      <c r="AG250" s="6"/>
      <c r="AH250" s="6"/>
      <c r="AI250" s="6"/>
      <c r="AJ250" s="6"/>
      <c r="AK250" s="6"/>
      <c r="AL250" s="6"/>
      <c r="AM250" s="6"/>
      <c r="AN250" s="6"/>
      <c r="AO250" s="6"/>
      <c r="AP250" s="6"/>
    </row>
    <row r="251" spans="1:42" ht="15.75" x14ac:dyDescent="0.3">
      <c r="A251" s="248"/>
      <c r="B251" s="6"/>
      <c r="C251" s="6"/>
      <c r="D251" s="6"/>
      <c r="E251" s="6"/>
      <c r="F251" s="6"/>
      <c r="G251" s="271"/>
      <c r="H251" s="271"/>
      <c r="I251" s="271"/>
      <c r="J251" s="271"/>
      <c r="K251" s="271"/>
      <c r="L251" s="271"/>
      <c r="M251" s="271"/>
      <c r="N251" s="271"/>
      <c r="O251" s="271"/>
      <c r="P251" s="271"/>
      <c r="Q251" s="6"/>
      <c r="R251" s="6"/>
      <c r="S251" s="6"/>
      <c r="T251" s="6"/>
      <c r="U251" s="21" t="s">
        <v>277</v>
      </c>
      <c r="V251" s="6" t="s">
        <v>278</v>
      </c>
      <c r="W251" s="21" t="s">
        <v>279</v>
      </c>
      <c r="X251" s="6" t="s">
        <v>280</v>
      </c>
      <c r="Y251" s="6"/>
      <c r="Z251" s="6"/>
      <c r="AA251" s="6"/>
      <c r="AB251" s="6"/>
      <c r="AC251" s="6"/>
      <c r="AD251" s="6"/>
      <c r="AE251" s="6"/>
      <c r="AF251" s="6"/>
      <c r="AG251" s="6"/>
      <c r="AH251" s="6"/>
      <c r="AI251" s="6"/>
      <c r="AJ251" s="6"/>
      <c r="AK251" s="6"/>
      <c r="AL251" s="6"/>
      <c r="AM251" s="6"/>
      <c r="AN251" s="6"/>
      <c r="AO251" s="6"/>
      <c r="AP251" s="6"/>
    </row>
    <row r="252" spans="1:42" ht="15.75" x14ac:dyDescent="0.3">
      <c r="A252" s="233"/>
      <c r="B252" s="6"/>
      <c r="C252" s="6"/>
      <c r="D252" s="6"/>
      <c r="E252" s="6"/>
      <c r="F252" s="6"/>
      <c r="G252" s="271"/>
      <c r="H252" s="271"/>
      <c r="I252" s="271"/>
      <c r="J252" s="271"/>
      <c r="K252" s="271"/>
      <c r="L252" s="271"/>
      <c r="M252" s="271"/>
      <c r="N252" s="271"/>
      <c r="O252" s="271"/>
      <c r="P252" s="271"/>
      <c r="Q252" s="6"/>
      <c r="R252" s="6"/>
      <c r="S252" s="6"/>
      <c r="T252" s="6"/>
      <c r="U252" s="12">
        <v>5860</v>
      </c>
      <c r="V252" s="12">
        <f>G253-U252</f>
        <v>6277</v>
      </c>
      <c r="W252" s="12">
        <f>(1.078*U252)</f>
        <v>6317.0800000000008</v>
      </c>
      <c r="X252" s="12">
        <f>(1.078*V252)</f>
        <v>6766.6060000000007</v>
      </c>
      <c r="Y252" s="12">
        <f>SUM(W252:X252)</f>
        <v>13083.686000000002</v>
      </c>
      <c r="Z252" s="6"/>
      <c r="AA252" s="6"/>
      <c r="AB252" s="6"/>
      <c r="AC252" s="6"/>
      <c r="AD252" s="6"/>
      <c r="AE252" s="6"/>
      <c r="AF252" s="6"/>
      <c r="AG252" s="6"/>
      <c r="AH252" s="6"/>
      <c r="AI252" s="6"/>
      <c r="AJ252" s="6"/>
      <c r="AK252" s="6"/>
      <c r="AL252" s="6"/>
      <c r="AM252" s="6"/>
      <c r="AN252" s="6"/>
      <c r="AO252" s="6"/>
      <c r="AP252" s="6"/>
    </row>
    <row r="253" spans="1:42" ht="15.75" x14ac:dyDescent="0.3">
      <c r="A253" s="228" t="s">
        <v>283</v>
      </c>
      <c r="B253" s="324"/>
      <c r="C253" s="324"/>
      <c r="D253" s="324"/>
      <c r="E253" s="324"/>
      <c r="F253" s="324"/>
      <c r="G253" s="325">
        <f>G266+G268</f>
        <v>12137</v>
      </c>
      <c r="H253" s="325">
        <f>H266+H268</f>
        <v>12241</v>
      </c>
      <c r="I253" s="325">
        <f t="shared" ref="I253:P253" si="143">I266+I268</f>
        <v>13417.174795692434</v>
      </c>
      <c r="J253" s="325">
        <f t="shared" si="143"/>
        <v>15475.789021420806</v>
      </c>
      <c r="K253" s="325">
        <f t="shared" si="143"/>
        <v>16886.684785997964</v>
      </c>
      <c r="L253" s="325">
        <f t="shared" si="143"/>
        <v>18286.379420246223</v>
      </c>
      <c r="M253" s="325">
        <f t="shared" si="143"/>
        <v>19780.656207578068</v>
      </c>
      <c r="N253" s="325">
        <f t="shared" si="143"/>
        <v>21332.213542107922</v>
      </c>
      <c r="O253" s="325">
        <f t="shared" si="143"/>
        <v>22985.084391823613</v>
      </c>
      <c r="P253" s="325">
        <f t="shared" si="143"/>
        <v>24745.334226167375</v>
      </c>
      <c r="Q253" s="6"/>
      <c r="R253" s="6"/>
      <c r="S253" s="6"/>
      <c r="T253" s="6"/>
      <c r="U253" s="6">
        <v>3456</v>
      </c>
      <c r="V253" s="12">
        <f>G266-U253</f>
        <v>3797</v>
      </c>
      <c r="W253" s="6">
        <v>3690</v>
      </c>
      <c r="X253" s="6">
        <f>(1+Y267)*V253</f>
        <v>4054.0885416666665</v>
      </c>
      <c r="Y253" s="12">
        <f>SUM(W253:X253)</f>
        <v>7744.0885416666661</v>
      </c>
      <c r="Z253" s="6"/>
      <c r="AA253" s="6"/>
      <c r="AB253" s="6"/>
      <c r="AC253" s="6"/>
      <c r="AD253" s="6"/>
      <c r="AE253" s="6"/>
      <c r="AF253" s="6"/>
      <c r="AG253" s="6"/>
      <c r="AH253" s="6"/>
      <c r="AI253" s="6"/>
      <c r="AJ253" s="6"/>
      <c r="AK253" s="6"/>
      <c r="AL253" s="6"/>
      <c r="AM253" s="6"/>
      <c r="AN253" s="6"/>
      <c r="AO253" s="6"/>
      <c r="AP253" s="6"/>
    </row>
    <row r="254" spans="1:42" ht="15.75" x14ac:dyDescent="0.3">
      <c r="A254" s="245" t="s">
        <v>281</v>
      </c>
      <c r="B254" s="6"/>
      <c r="C254" s="6"/>
      <c r="D254" s="6"/>
      <c r="E254" s="6"/>
      <c r="F254" s="6"/>
      <c r="G254" s="34"/>
      <c r="H254" s="15">
        <f>H253/G253-1</f>
        <v>8.568839087089053E-3</v>
      </c>
      <c r="I254" s="15">
        <f t="shared" ref="I254:P254" si="144">I253/H253-1</f>
        <v>9.6084861995950899E-2</v>
      </c>
      <c r="J254" s="15">
        <f t="shared" si="144"/>
        <v>0.15343127424927694</v>
      </c>
      <c r="K254" s="15">
        <f t="shared" si="144"/>
        <v>9.1167937390737697E-2</v>
      </c>
      <c r="L254" s="15">
        <f t="shared" si="144"/>
        <v>8.288747329546009E-2</v>
      </c>
      <c r="M254" s="15">
        <f t="shared" si="144"/>
        <v>8.1715289450760231E-2</v>
      </c>
      <c r="N254" s="15">
        <f t="shared" si="144"/>
        <v>7.8438112378468317E-2</v>
      </c>
      <c r="O254" s="15">
        <f t="shared" si="144"/>
        <v>7.7482388147534165E-2</v>
      </c>
      <c r="P254" s="15">
        <f t="shared" si="144"/>
        <v>7.6582265452544096E-2</v>
      </c>
      <c r="Q254" s="6"/>
      <c r="R254" s="6"/>
      <c r="S254" s="6"/>
      <c r="T254" s="6"/>
      <c r="U254" s="6">
        <v>2404</v>
      </c>
      <c r="V254" s="12">
        <f>G268-U254</f>
        <v>2480</v>
      </c>
      <c r="W254" s="6">
        <v>2627</v>
      </c>
      <c r="X254" s="6">
        <f>(1+W267)*V254</f>
        <v>2710.0499168053243</v>
      </c>
      <c r="Y254" s="12">
        <f>SUM(W254:X254)</f>
        <v>5337.0499168053248</v>
      </c>
      <c r="Z254" s="6"/>
      <c r="AA254" s="6"/>
      <c r="AB254" s="6"/>
      <c r="AC254" s="6"/>
      <c r="AD254" s="6"/>
      <c r="AE254" s="6"/>
      <c r="AF254" s="6"/>
      <c r="AG254" s="6"/>
      <c r="AH254" s="6"/>
      <c r="AI254" s="6"/>
      <c r="AJ254" s="6"/>
      <c r="AK254" s="6"/>
      <c r="AL254" s="6"/>
      <c r="AM254" s="6"/>
      <c r="AN254" s="6"/>
      <c r="AO254" s="6"/>
      <c r="AP254" s="6"/>
    </row>
    <row r="255" spans="1:42" ht="15.75" x14ac:dyDescent="0.3">
      <c r="A255" s="245"/>
      <c r="B255" s="6"/>
      <c r="C255" s="6"/>
      <c r="D255" s="6"/>
      <c r="E255" s="6"/>
      <c r="F255" s="6"/>
      <c r="G255" s="34"/>
      <c r="H255" s="15"/>
      <c r="I255" s="15"/>
      <c r="J255" s="15"/>
      <c r="K255" s="15"/>
      <c r="L255" s="15"/>
      <c r="M255" s="15"/>
      <c r="N255" s="15"/>
      <c r="O255" s="15"/>
      <c r="P255" s="15"/>
      <c r="Q255" s="6"/>
      <c r="R255" s="6"/>
      <c r="S255" s="6"/>
      <c r="T255" s="6"/>
      <c r="U255" s="6"/>
      <c r="V255" s="12"/>
      <c r="W255" s="6"/>
      <c r="X255" s="6"/>
      <c r="Y255" s="12"/>
      <c r="Z255" s="6"/>
      <c r="AA255" s="6"/>
      <c r="AB255" s="6"/>
      <c r="AC255" s="6"/>
      <c r="AD255" s="6"/>
      <c r="AE255" s="6"/>
      <c r="AF255" s="6"/>
      <c r="AG255" s="6"/>
      <c r="AH255" s="6"/>
      <c r="AI255" s="6"/>
      <c r="AJ255" s="6"/>
      <c r="AK255" s="6"/>
      <c r="AL255" s="6"/>
      <c r="AM255" s="6"/>
      <c r="AN255" s="6"/>
      <c r="AO255" s="6"/>
      <c r="AP255" s="6"/>
    </row>
    <row r="256" spans="1:42" ht="15.75" x14ac:dyDescent="0.3">
      <c r="A256" s="64" t="s">
        <v>423</v>
      </c>
      <c r="B256" s="6"/>
      <c r="C256" s="6"/>
      <c r="D256" s="6"/>
      <c r="E256" s="6"/>
      <c r="F256" s="6"/>
      <c r="G256" s="34"/>
      <c r="H256" s="15"/>
      <c r="I256" s="15"/>
      <c r="J256" s="15"/>
      <c r="K256" s="15"/>
      <c r="L256" s="15"/>
      <c r="M256" s="15"/>
      <c r="N256" s="15"/>
      <c r="O256" s="15"/>
      <c r="P256" s="15"/>
      <c r="Q256" s="6"/>
      <c r="R256" s="6"/>
      <c r="S256" s="6"/>
      <c r="T256" s="6"/>
      <c r="U256" s="6"/>
      <c r="V256" s="12"/>
      <c r="W256" s="6"/>
      <c r="X256" s="6"/>
      <c r="Y256" s="12"/>
      <c r="Z256" s="6"/>
      <c r="AA256" s="6"/>
      <c r="AB256" s="6"/>
      <c r="AC256" s="6"/>
      <c r="AD256" s="6"/>
      <c r="AE256" s="6"/>
      <c r="AF256" s="6"/>
      <c r="AG256" s="6"/>
      <c r="AH256" s="6"/>
      <c r="AI256" s="6"/>
      <c r="AJ256" s="6"/>
      <c r="AK256" s="6"/>
      <c r="AL256" s="6"/>
      <c r="AM256" s="6"/>
      <c r="AN256" s="6"/>
      <c r="AO256" s="6"/>
      <c r="AP256" s="6"/>
    </row>
    <row r="257" spans="1:42" ht="15.75" x14ac:dyDescent="0.3">
      <c r="A257" s="245" t="s">
        <v>428</v>
      </c>
      <c r="B257" s="6"/>
      <c r="C257" s="6"/>
      <c r="D257" s="6"/>
      <c r="E257" s="6"/>
      <c r="F257" s="6"/>
      <c r="G257" s="34"/>
      <c r="H257" s="15">
        <f>H48/G47</f>
        <v>4.6743372495096434E-2</v>
      </c>
      <c r="I257" s="15">
        <f t="shared" ref="I257:P257" si="145">I48/H47</f>
        <v>6.8441829454878422E-2</v>
      </c>
      <c r="J257" s="15">
        <f t="shared" si="145"/>
        <v>7.4637158847111654E-2</v>
      </c>
      <c r="K257" s="15">
        <f t="shared" si="145"/>
        <v>5.2053565477110555E-2</v>
      </c>
      <c r="L257" s="15">
        <f t="shared" si="145"/>
        <v>5.8937784054072392E-2</v>
      </c>
      <c r="M257" s="15">
        <f t="shared" si="145"/>
        <v>4.9051474311060057E-2</v>
      </c>
      <c r="N257" s="15">
        <f t="shared" si="145"/>
        <v>4.7743895134457988E-2</v>
      </c>
      <c r="O257" s="15">
        <f t="shared" si="145"/>
        <v>4.6509324974701415E-2</v>
      </c>
      <c r="P257" s="15">
        <f t="shared" si="145"/>
        <v>4.5341557143085971E-2</v>
      </c>
      <c r="Q257" s="6"/>
      <c r="R257" s="6"/>
      <c r="S257" s="6"/>
      <c r="T257" s="6"/>
      <c r="U257" s="6"/>
      <c r="V257" s="12"/>
      <c r="W257" s="6"/>
      <c r="X257" s="6"/>
      <c r="Y257" s="12"/>
      <c r="Z257" s="6"/>
      <c r="AA257" s="6"/>
      <c r="AB257" s="6"/>
      <c r="AC257" s="6"/>
      <c r="AD257" s="6"/>
      <c r="AE257" s="6"/>
      <c r="AF257" s="6"/>
      <c r="AG257" s="6"/>
      <c r="AH257" s="6"/>
      <c r="AI257" s="6"/>
      <c r="AJ257" s="6"/>
      <c r="AK257" s="6"/>
      <c r="AL257" s="6"/>
      <c r="AM257" s="6"/>
      <c r="AN257" s="6"/>
      <c r="AO257" s="6"/>
      <c r="AP257" s="6"/>
    </row>
    <row r="258" spans="1:42" ht="15.75" x14ac:dyDescent="0.3">
      <c r="A258" s="245" t="s">
        <v>418</v>
      </c>
      <c r="B258" s="6"/>
      <c r="C258" s="6"/>
      <c r="D258" s="6"/>
      <c r="E258" s="6"/>
      <c r="F258" s="6"/>
      <c r="G258" s="34"/>
      <c r="H258" s="15">
        <f>H229/H228*G198</f>
        <v>4.5331250000000003E-2</v>
      </c>
      <c r="I258" s="15">
        <f t="shared" ref="I258:P258" si="146">I229/I228*H198</f>
        <v>2.8773349780922802E-2</v>
      </c>
      <c r="J258" s="15">
        <f t="shared" si="146"/>
        <v>2.0432700033984761E-2</v>
      </c>
      <c r="K258" s="15">
        <f t="shared" si="146"/>
        <v>1.2606764830148182E-2</v>
      </c>
      <c r="L258" s="15">
        <f t="shared" si="146"/>
        <v>1.1203237545474039E-2</v>
      </c>
      <c r="M258" s="15">
        <f t="shared" si="146"/>
        <v>1.09578193743165E-2</v>
      </c>
      <c r="N258" s="15">
        <f t="shared" si="146"/>
        <v>1.0758455087381446E-2</v>
      </c>
      <c r="O258" s="15">
        <f t="shared" si="146"/>
        <v>1.0566143571339903E-2</v>
      </c>
      <c r="P258" s="15">
        <f t="shared" si="146"/>
        <v>1.038040581043664E-2</v>
      </c>
      <c r="Q258" s="6"/>
      <c r="R258" s="6"/>
      <c r="S258" s="6"/>
      <c r="T258" s="6"/>
      <c r="U258" s="6"/>
      <c r="V258" s="12"/>
      <c r="W258" s="6"/>
      <c r="X258" s="6"/>
      <c r="Y258" s="12"/>
      <c r="Z258" s="6"/>
      <c r="AA258" s="6"/>
      <c r="AB258" s="6"/>
      <c r="AC258" s="6"/>
      <c r="AD258" s="6"/>
      <c r="AE258" s="6"/>
      <c r="AF258" s="6"/>
      <c r="AG258" s="6"/>
      <c r="AH258" s="6"/>
      <c r="AI258" s="6"/>
      <c r="AJ258" s="6"/>
      <c r="AK258" s="6"/>
      <c r="AL258" s="6"/>
      <c r="AM258" s="6"/>
      <c r="AN258" s="6"/>
      <c r="AO258" s="6"/>
      <c r="AP258" s="6"/>
    </row>
    <row r="259" spans="1:42" ht="15.75" x14ac:dyDescent="0.3">
      <c r="A259" s="245" t="s">
        <v>419</v>
      </c>
      <c r="B259" s="6"/>
      <c r="C259" s="6"/>
      <c r="D259" s="6"/>
      <c r="E259" s="6"/>
      <c r="F259" s="6"/>
      <c r="G259" s="34"/>
      <c r="H259" s="15">
        <f>H233/H228*G215</f>
        <v>3.8669668458781361E-3</v>
      </c>
      <c r="I259" s="15">
        <f t="shared" ref="I259:P259" si="147">I233/I228*H215</f>
        <v>8.1023335962696289E-3</v>
      </c>
      <c r="J259" s="15">
        <f t="shared" si="147"/>
        <v>4.2452505264987334E-3</v>
      </c>
      <c r="K259" s="15">
        <f t="shared" si="147"/>
        <v>3.0562817322525235E-3</v>
      </c>
      <c r="L259" s="15">
        <f t="shared" si="147"/>
        <v>2.7151342450035102E-3</v>
      </c>
      <c r="M259" s="15">
        <f t="shared" si="147"/>
        <v>2.6538273898469469E-3</v>
      </c>
      <c r="N259" s="15">
        <f t="shared" si="147"/>
        <v>2.602897063572418E-3</v>
      </c>
      <c r="O259" s="15">
        <f t="shared" si="147"/>
        <v>2.5530143567374145E-3</v>
      </c>
      <c r="P259" s="15">
        <f t="shared" si="147"/>
        <v>2.5041696745428436E-3</v>
      </c>
      <c r="Q259" s="6"/>
      <c r="R259" s="6"/>
      <c r="S259" s="6"/>
      <c r="T259" s="6"/>
      <c r="U259" s="6"/>
      <c r="V259" s="12"/>
      <c r="W259" s="6"/>
      <c r="X259" s="6"/>
      <c r="Y259" s="12"/>
      <c r="Z259" s="6"/>
      <c r="AA259" s="6"/>
      <c r="AB259" s="6"/>
      <c r="AC259" s="6"/>
      <c r="AD259" s="6"/>
      <c r="AE259" s="6"/>
      <c r="AF259" s="6"/>
      <c r="AG259" s="6"/>
      <c r="AH259" s="6"/>
      <c r="AI259" s="6"/>
      <c r="AJ259" s="6"/>
      <c r="AK259" s="6"/>
      <c r="AL259" s="6"/>
      <c r="AM259" s="6"/>
      <c r="AN259" s="6"/>
      <c r="AO259" s="6"/>
      <c r="AP259" s="6"/>
    </row>
    <row r="260" spans="1:42" ht="15.75" x14ac:dyDescent="0.3">
      <c r="A260" s="245" t="s">
        <v>420</v>
      </c>
      <c r="B260" s="6"/>
      <c r="C260" s="6"/>
      <c r="D260" s="6"/>
      <c r="E260" s="6"/>
      <c r="F260" s="6"/>
      <c r="G260" s="34"/>
      <c r="H260" s="15">
        <f>H242/H228*G207</f>
        <v>5.3076015531660682E-4</v>
      </c>
      <c r="I260" s="15">
        <f t="shared" ref="I260:P260" si="148">I242/I228*H207</f>
        <v>2.5395710395840296E-3</v>
      </c>
      <c r="J260" s="15">
        <f t="shared" si="148"/>
        <v>4.7013649093455805E-4</v>
      </c>
      <c r="K260" s="15">
        <f t="shared" si="148"/>
        <v>4.6484976790429677E-4</v>
      </c>
      <c r="L260" s="15">
        <f t="shared" si="148"/>
        <v>4.5884535986107382E-4</v>
      </c>
      <c r="M260" s="15">
        <f t="shared" si="148"/>
        <v>4.5301316970012846E-4</v>
      </c>
      <c r="N260" s="15">
        <f t="shared" si="148"/>
        <v>4.4880560072511395E-4</v>
      </c>
      <c r="O260" s="15">
        <f t="shared" si="148"/>
        <v>4.4464933825662099E-4</v>
      </c>
      <c r="P260" s="15">
        <f t="shared" si="148"/>
        <v>4.4054600170467161E-4</v>
      </c>
      <c r="Q260" s="6"/>
      <c r="R260" s="6"/>
      <c r="S260" s="6"/>
      <c r="T260" s="6"/>
      <c r="U260" s="6"/>
      <c r="V260" s="12"/>
      <c r="W260" s="6"/>
      <c r="X260" s="6"/>
      <c r="Y260" s="12"/>
      <c r="Z260" s="6"/>
      <c r="AA260" s="6"/>
      <c r="AB260" s="6"/>
      <c r="AC260" s="6"/>
      <c r="AD260" s="6"/>
      <c r="AE260" s="6"/>
      <c r="AF260" s="6"/>
      <c r="AG260" s="6"/>
      <c r="AH260" s="6"/>
      <c r="AI260" s="6"/>
      <c r="AJ260" s="6"/>
      <c r="AK260" s="6"/>
      <c r="AL260" s="6"/>
      <c r="AM260" s="6"/>
      <c r="AN260" s="6"/>
      <c r="AO260" s="6"/>
      <c r="AP260" s="6"/>
    </row>
    <row r="261" spans="1:42" ht="15.75" x14ac:dyDescent="0.3">
      <c r="A261" s="326" t="s">
        <v>421</v>
      </c>
      <c r="B261" s="24"/>
      <c r="C261" s="24"/>
      <c r="D261" s="24"/>
      <c r="E261" s="24"/>
      <c r="F261" s="24"/>
      <c r="G261" s="327"/>
      <c r="H261" s="328">
        <f>(H228-H229-H233-H242)/H228*G224</f>
        <v>8.4695064217443251E-3</v>
      </c>
      <c r="I261" s="328">
        <f t="shared" ref="I261:P261" si="149">(I228-I229-I233-I242)/I228*H224</f>
        <v>3.0578233676202694E-2</v>
      </c>
      <c r="J261" s="328">
        <f t="shared" si="149"/>
        <v>1.4187314336730273E-2</v>
      </c>
      <c r="K261" s="328">
        <f t="shared" si="149"/>
        <v>1.1548753950691382E-2</v>
      </c>
      <c r="L261" s="328">
        <f t="shared" si="149"/>
        <v>1.0262240113153893E-2</v>
      </c>
      <c r="M261" s="328">
        <f t="shared" si="149"/>
        <v>1.0472555654190904E-2</v>
      </c>
      <c r="N261" s="328">
        <f t="shared" si="149"/>
        <v>1.0643626298638978E-2</v>
      </c>
      <c r="O261" s="328">
        <f t="shared" si="149"/>
        <v>1.08092453763585E-2</v>
      </c>
      <c r="P261" s="328">
        <f t="shared" si="149"/>
        <v>1.0969737008309006E-2</v>
      </c>
      <c r="Q261" s="6"/>
      <c r="R261" s="6"/>
      <c r="S261" s="6"/>
      <c r="T261" s="6"/>
      <c r="U261" s="6"/>
      <c r="V261" s="12"/>
      <c r="W261" s="6"/>
      <c r="X261" s="6"/>
      <c r="Y261" s="12"/>
      <c r="Z261" s="6"/>
      <c r="AA261" s="6"/>
      <c r="AB261" s="6"/>
      <c r="AC261" s="6"/>
      <c r="AD261" s="6"/>
      <c r="AE261" s="6"/>
      <c r="AF261" s="6"/>
      <c r="AG261" s="6"/>
      <c r="AH261" s="6"/>
      <c r="AI261" s="6"/>
      <c r="AJ261" s="6"/>
      <c r="AK261" s="6"/>
      <c r="AL261" s="6"/>
      <c r="AM261" s="6"/>
      <c r="AN261" s="6"/>
      <c r="AO261" s="6"/>
      <c r="AP261" s="6"/>
    </row>
    <row r="262" spans="1:42" ht="15.75" x14ac:dyDescent="0.3">
      <c r="A262" s="6" t="s">
        <v>422</v>
      </c>
      <c r="B262" s="6"/>
      <c r="C262" s="6"/>
      <c r="D262" s="6"/>
      <c r="E262" s="6"/>
      <c r="F262" s="6"/>
      <c r="G262" s="12"/>
      <c r="H262" s="15">
        <f>SUM(H257:H261)</f>
        <v>0.1049418559180355</v>
      </c>
      <c r="I262" s="15">
        <f t="shared" ref="I262:P262" si="150">SUM(I257:I261)</f>
        <v>0.13843531754785759</v>
      </c>
      <c r="J262" s="15">
        <f t="shared" si="150"/>
        <v>0.11397256023525998</v>
      </c>
      <c r="K262" s="15">
        <f t="shared" si="150"/>
        <v>7.9730215758106945E-2</v>
      </c>
      <c r="L262" s="15">
        <f t="shared" si="150"/>
        <v>8.3577241317564915E-2</v>
      </c>
      <c r="M262" s="15">
        <f t="shared" si="150"/>
        <v>7.3588689899114546E-2</v>
      </c>
      <c r="N262" s="15">
        <f t="shared" si="150"/>
        <v>7.2197679184775931E-2</v>
      </c>
      <c r="O262" s="15">
        <f t="shared" si="150"/>
        <v>7.0882377617393855E-2</v>
      </c>
      <c r="P262" s="15">
        <f t="shared" si="150"/>
        <v>6.9636415638079124E-2</v>
      </c>
      <c r="Q262" s="6"/>
      <c r="R262" s="6"/>
      <c r="S262" s="6"/>
      <c r="T262" s="6"/>
      <c r="U262" s="6"/>
      <c r="V262" s="12"/>
      <c r="W262" s="6"/>
      <c r="X262" s="6"/>
      <c r="Y262" s="12"/>
      <c r="Z262" s="6"/>
      <c r="AA262" s="6"/>
      <c r="AB262" s="6"/>
      <c r="AC262" s="6"/>
      <c r="AD262" s="6"/>
      <c r="AE262" s="6"/>
      <c r="AF262" s="6"/>
      <c r="AG262" s="6"/>
      <c r="AH262" s="6"/>
      <c r="AI262" s="6"/>
      <c r="AJ262" s="6"/>
      <c r="AK262" s="6"/>
      <c r="AL262" s="6"/>
      <c r="AM262" s="6"/>
      <c r="AN262" s="6"/>
      <c r="AO262" s="6"/>
      <c r="AP262" s="6"/>
    </row>
    <row r="263" spans="1:42" ht="15.75" x14ac:dyDescent="0.3">
      <c r="A263" s="6" t="s">
        <v>425</v>
      </c>
      <c r="B263" s="6"/>
      <c r="C263" s="6"/>
      <c r="D263" s="6"/>
      <c r="E263" s="6"/>
      <c r="F263" s="6"/>
      <c r="G263" s="12"/>
      <c r="H263" s="12">
        <v>100</v>
      </c>
      <c r="I263" s="12">
        <f t="shared" ref="I263:P263" si="151">(1+I262)*H263</f>
        <v>113.84353175478577</v>
      </c>
      <c r="J263" s="12">
        <f t="shared" si="151"/>
        <v>126.81857053510282</v>
      </c>
      <c r="K263" s="12">
        <f t="shared" si="151"/>
        <v>136.92984252600129</v>
      </c>
      <c r="L263" s="12">
        <f t="shared" si="151"/>
        <v>148.37406101837306</v>
      </c>
      <c r="M263" s="12">
        <f t="shared" si="151"/>
        <v>159.29271378372641</v>
      </c>
      <c r="N263" s="12">
        <f t="shared" si="151"/>
        <v>170.79327802995624</v>
      </c>
      <c r="O263" s="12">
        <f t="shared" si="151"/>
        <v>182.89951165778814</v>
      </c>
      <c r="P263" s="12">
        <f t="shared" si="151"/>
        <v>195.63597807159158</v>
      </c>
      <c r="Q263" s="6"/>
      <c r="R263" s="6"/>
      <c r="S263" s="6"/>
      <c r="T263" s="6"/>
      <c r="U263" s="6"/>
      <c r="V263" s="12"/>
      <c r="W263" s="6"/>
      <c r="X263" s="6"/>
      <c r="Y263" s="12"/>
      <c r="Z263" s="6"/>
      <c r="AA263" s="6"/>
      <c r="AB263" s="6"/>
      <c r="AC263" s="6"/>
      <c r="AD263" s="6"/>
      <c r="AE263" s="6"/>
      <c r="AF263" s="6"/>
      <c r="AG263" s="6"/>
      <c r="AH263" s="6"/>
      <c r="AI263" s="6"/>
      <c r="AJ263" s="6"/>
      <c r="AK263" s="6"/>
      <c r="AL263" s="6"/>
      <c r="AM263" s="6"/>
      <c r="AN263" s="6"/>
      <c r="AO263" s="6"/>
      <c r="AP263" s="6"/>
    </row>
    <row r="264" spans="1:42" ht="15.75" x14ac:dyDescent="0.3">
      <c r="A264" s="6" t="s">
        <v>424</v>
      </c>
      <c r="B264" s="6"/>
      <c r="C264" s="6"/>
      <c r="D264" s="6"/>
      <c r="E264" s="6"/>
      <c r="F264" s="6"/>
      <c r="G264" s="12"/>
      <c r="H264" s="12">
        <f>H263*H306</f>
        <v>94.012903225806454</v>
      </c>
      <c r="I264" s="12">
        <f t="shared" ref="I264:P264" si="152">I263*I306</f>
        <v>96.42547139630355</v>
      </c>
      <c r="J264" s="12">
        <f t="shared" si="152"/>
        <v>108.83281306506592</v>
      </c>
      <c r="K264" s="12">
        <f t="shared" si="152"/>
        <v>117.82948077496479</v>
      </c>
      <c r="L264" s="12">
        <f t="shared" si="152"/>
        <v>128.01224206211381</v>
      </c>
      <c r="M264" s="12">
        <f t="shared" si="152"/>
        <v>137.95050990379303</v>
      </c>
      <c r="N264" s="12">
        <f t="shared" si="152"/>
        <v>148.26609621079515</v>
      </c>
      <c r="O264" s="12">
        <f t="shared" si="152"/>
        <v>159.14498243313724</v>
      </c>
      <c r="P264" s="12">
        <f t="shared" si="152"/>
        <v>170.61050703048792</v>
      </c>
      <c r="Q264" s="6"/>
      <c r="R264" s="6"/>
      <c r="S264" s="6"/>
      <c r="T264" s="6"/>
      <c r="U264" s="6"/>
      <c r="V264" s="12"/>
      <c r="W264" s="6"/>
      <c r="X264" s="6"/>
      <c r="Y264" s="12"/>
      <c r="Z264" s="6"/>
      <c r="AA264" s="6"/>
      <c r="AB264" s="6"/>
      <c r="AC264" s="6"/>
      <c r="AD264" s="6"/>
      <c r="AE264" s="6"/>
      <c r="AF264" s="6"/>
      <c r="AG264" s="6"/>
      <c r="AH264" s="6"/>
      <c r="AI264" s="6"/>
      <c r="AJ264" s="6"/>
      <c r="AK264" s="6"/>
      <c r="AL264" s="6"/>
      <c r="AM264" s="6"/>
      <c r="AN264" s="6"/>
      <c r="AO264" s="6"/>
      <c r="AP264" s="6"/>
    </row>
    <row r="265" spans="1:42" ht="15.75" x14ac:dyDescent="0.3">
      <c r="A265" s="245"/>
      <c r="B265" s="6"/>
      <c r="C265" s="6"/>
      <c r="D265" s="6"/>
      <c r="E265" s="6"/>
      <c r="F265" s="6"/>
      <c r="G265" s="34"/>
      <c r="H265" s="15"/>
      <c r="I265" s="15"/>
      <c r="J265" s="15"/>
      <c r="K265" s="15"/>
      <c r="L265" s="15"/>
      <c r="M265" s="15"/>
      <c r="N265" s="15"/>
      <c r="O265" s="15"/>
      <c r="P265" s="15"/>
      <c r="Q265" s="6"/>
      <c r="R265" s="6"/>
      <c r="S265" s="6"/>
      <c r="T265" s="6"/>
      <c r="U265" s="6"/>
      <c r="V265" s="12"/>
      <c r="W265" s="6"/>
      <c r="X265" s="6"/>
      <c r="Y265" s="12"/>
      <c r="Z265" s="6"/>
      <c r="AA265" s="6"/>
      <c r="AB265" s="6"/>
      <c r="AC265" s="6"/>
      <c r="AD265" s="6"/>
      <c r="AE265" s="6"/>
      <c r="AF265" s="6"/>
      <c r="AG265" s="6"/>
      <c r="AH265" s="6"/>
      <c r="AI265" s="6"/>
      <c r="AJ265" s="6"/>
      <c r="AK265" s="6"/>
      <c r="AL265" s="6"/>
      <c r="AM265" s="6"/>
      <c r="AN265" s="6"/>
      <c r="AO265" s="6"/>
      <c r="AP265" s="6"/>
    </row>
    <row r="266" spans="1:42" ht="15.75" x14ac:dyDescent="0.3">
      <c r="A266" s="233" t="s">
        <v>237</v>
      </c>
      <c r="B266" s="6"/>
      <c r="C266" s="6"/>
      <c r="D266" s="6"/>
      <c r="E266" s="6"/>
      <c r="F266" s="6"/>
      <c r="G266" s="329">
        <v>7253</v>
      </c>
      <c r="H266" s="329">
        <v>8324</v>
      </c>
      <c r="I266" s="12">
        <f t="shared" ref="I266:P266" si="153">I228</f>
        <v>8104.0633096683941</v>
      </c>
      <c r="J266" s="12">
        <f t="shared" si="153"/>
        <v>9318.403363620193</v>
      </c>
      <c r="K266" s="12">
        <f t="shared" si="153"/>
        <v>10253.146527691533</v>
      </c>
      <c r="L266" s="12">
        <f t="shared" si="153"/>
        <v>11179.017917824334</v>
      </c>
      <c r="M266" s="12">
        <f t="shared" si="153"/>
        <v>12172.452058331699</v>
      </c>
      <c r="N266" s="12">
        <f t="shared" si="153"/>
        <v>13194.676543881864</v>
      </c>
      <c r="O266" s="12">
        <f t="shared" si="153"/>
        <v>14288.426366602396</v>
      </c>
      <c r="P266" s="12">
        <f t="shared" si="153"/>
        <v>15458.166147307704</v>
      </c>
      <c r="Q266" s="6"/>
      <c r="R266" s="6"/>
      <c r="S266" s="6"/>
      <c r="T266" s="6"/>
      <c r="U266" s="6"/>
      <c r="V266" s="12"/>
      <c r="W266" s="6"/>
      <c r="X266" s="6"/>
      <c r="Y266" s="12"/>
      <c r="Z266" s="6"/>
      <c r="AA266" s="6"/>
      <c r="AB266" s="6"/>
      <c r="AC266" s="6"/>
      <c r="AD266" s="6"/>
      <c r="AE266" s="6"/>
      <c r="AF266" s="6"/>
      <c r="AG266" s="6"/>
      <c r="AH266" s="6"/>
      <c r="AI266" s="6"/>
      <c r="AJ266" s="6"/>
      <c r="AK266" s="6"/>
      <c r="AL266" s="6"/>
      <c r="AM266" s="6"/>
      <c r="AN266" s="6"/>
      <c r="AO266" s="6"/>
      <c r="AP266" s="6"/>
    </row>
    <row r="267" spans="1:42" ht="15.75" x14ac:dyDescent="0.3">
      <c r="A267" s="245" t="s">
        <v>281</v>
      </c>
      <c r="B267" s="6"/>
      <c r="C267" s="6"/>
      <c r="D267" s="6"/>
      <c r="E267" s="6"/>
      <c r="F267" s="6"/>
      <c r="G267" s="12"/>
      <c r="H267" s="15">
        <f t="shared" ref="H267:P267" si="154">H266/G266-1</f>
        <v>0.14766303598510966</v>
      </c>
      <c r="I267" s="15">
        <f t="shared" si="154"/>
        <v>-2.6421995474724347E-2</v>
      </c>
      <c r="J267" s="15">
        <f t="shared" si="154"/>
        <v>0.14984335728264297</v>
      </c>
      <c r="K267" s="15">
        <f t="shared" si="154"/>
        <v>0.10031151556721118</v>
      </c>
      <c r="L267" s="15">
        <f t="shared" si="154"/>
        <v>9.030119560197658E-2</v>
      </c>
      <c r="M267" s="15">
        <f t="shared" si="154"/>
        <v>8.8865958334621409E-2</v>
      </c>
      <c r="N267" s="15">
        <f t="shared" si="154"/>
        <v>8.3978518103957622E-2</v>
      </c>
      <c r="O267" s="15">
        <f t="shared" si="154"/>
        <v>8.2893265256106963E-2</v>
      </c>
      <c r="P267" s="15">
        <f t="shared" si="154"/>
        <v>8.1866242698317215E-2</v>
      </c>
      <c r="Q267" s="6"/>
      <c r="R267" s="6"/>
      <c r="S267" s="6"/>
      <c r="T267" s="6"/>
      <c r="U267" s="6"/>
      <c r="V267" s="6"/>
      <c r="W267" s="6">
        <f>W254/U254-1</f>
        <v>9.2762063227953329E-2</v>
      </c>
      <c r="X267" s="6"/>
      <c r="Y267" s="6">
        <f>W253/U253-1</f>
        <v>6.7708333333333259E-2</v>
      </c>
      <c r="Z267" s="6"/>
      <c r="AA267" s="6"/>
      <c r="AB267" s="6"/>
      <c r="AC267" s="6"/>
      <c r="AD267" s="6"/>
      <c r="AE267" s="6"/>
      <c r="AF267" s="6"/>
      <c r="AG267" s="6"/>
      <c r="AH267" s="6"/>
      <c r="AI267" s="6"/>
      <c r="AJ267" s="6"/>
      <c r="AK267" s="6"/>
      <c r="AL267" s="6"/>
      <c r="AM267" s="6"/>
      <c r="AN267" s="6"/>
      <c r="AO267" s="6"/>
      <c r="AP267" s="6"/>
    </row>
    <row r="268" spans="1:42" ht="15.75" x14ac:dyDescent="0.3">
      <c r="A268" s="233" t="s">
        <v>238</v>
      </c>
      <c r="B268" s="6"/>
      <c r="C268" s="6"/>
      <c r="D268" s="6"/>
      <c r="E268" s="6"/>
      <c r="F268" s="6"/>
      <c r="G268" s="329">
        <v>4884</v>
      </c>
      <c r="H268" s="329">
        <v>3917</v>
      </c>
      <c r="I268" s="12">
        <f t="shared" ref="I268:P268" si="155">I247</f>
        <v>5313.1114860240396</v>
      </c>
      <c r="J268" s="12">
        <f t="shared" si="155"/>
        <v>6157.3856578006116</v>
      </c>
      <c r="K268" s="12">
        <f t="shared" si="155"/>
        <v>6633.538258306432</v>
      </c>
      <c r="L268" s="12">
        <f t="shared" si="155"/>
        <v>7107.361502421888</v>
      </c>
      <c r="M268" s="12">
        <f t="shared" si="155"/>
        <v>7608.2041492463704</v>
      </c>
      <c r="N268" s="12">
        <f t="shared" si="155"/>
        <v>8137.5369982260563</v>
      </c>
      <c r="O268" s="12">
        <f t="shared" si="155"/>
        <v>8696.6580252212188</v>
      </c>
      <c r="P268" s="12">
        <f t="shared" si="155"/>
        <v>9287.1680788596732</v>
      </c>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row>
    <row r="269" spans="1:42" ht="15.75" x14ac:dyDescent="0.3">
      <c r="A269" s="245" t="s">
        <v>281</v>
      </c>
      <c r="B269" s="6"/>
      <c r="C269" s="6"/>
      <c r="D269" s="6"/>
      <c r="E269" s="6"/>
      <c r="F269" s="6"/>
      <c r="G269" s="6"/>
      <c r="H269" s="15">
        <f t="shared" ref="H269:P269" si="156">H268/G268-1</f>
        <v>-0.19799344799344798</v>
      </c>
      <c r="I269" s="15">
        <f t="shared" si="156"/>
        <v>0.35642366250294599</v>
      </c>
      <c r="J269" s="15">
        <f t="shared" si="156"/>
        <v>0.15890390668394727</v>
      </c>
      <c r="K269" s="15">
        <f t="shared" si="156"/>
        <v>7.7330319549271165E-2</v>
      </c>
      <c r="L269" s="15">
        <f t="shared" si="156"/>
        <v>7.1428433162670002E-2</v>
      </c>
      <c r="M269" s="15">
        <f t="shared" si="156"/>
        <v>7.0468154272695482E-2</v>
      </c>
      <c r="N269" s="15">
        <f t="shared" si="156"/>
        <v>6.9573954457060605E-2</v>
      </c>
      <c r="O269" s="15">
        <f t="shared" si="156"/>
        <v>6.8708876791226725E-2</v>
      </c>
      <c r="P269" s="15">
        <f t="shared" si="156"/>
        <v>6.7900801885725892E-2</v>
      </c>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row>
    <row r="270" spans="1:42" ht="15.75" x14ac:dyDescent="0.3">
      <c r="A270" s="245"/>
      <c r="B270" s="6"/>
      <c r="C270" s="6"/>
      <c r="D270" s="6"/>
      <c r="E270" s="6"/>
      <c r="F270" s="6"/>
      <c r="G270" s="6"/>
      <c r="H270" s="15"/>
      <c r="I270" s="15"/>
      <c r="J270" s="15"/>
      <c r="K270" s="15"/>
      <c r="L270" s="15"/>
      <c r="M270" s="15"/>
      <c r="N270" s="15"/>
      <c r="O270" s="15"/>
      <c r="P270" s="15"/>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row>
    <row r="271" spans="1:42" ht="15.75" x14ac:dyDescent="0.3">
      <c r="A271" s="20" t="s">
        <v>284</v>
      </c>
      <c r="B271" s="6"/>
      <c r="C271" s="6"/>
      <c r="D271" s="6"/>
      <c r="E271" s="6"/>
      <c r="F271" s="6"/>
      <c r="G271" s="34">
        <f>G253/G176</f>
        <v>598.30851539365699</v>
      </c>
      <c r="H271" s="34">
        <f t="shared" ref="H271:P271" si="157">H253/H176</f>
        <v>606.89142290530481</v>
      </c>
      <c r="I271" s="34">
        <f t="shared" si="157"/>
        <v>753.77386492654114</v>
      </c>
      <c r="J271" s="34">
        <f t="shared" si="157"/>
        <v>860.81816783962643</v>
      </c>
      <c r="K271" s="34">
        <f t="shared" si="157"/>
        <v>920.87959281376368</v>
      </c>
      <c r="L271" s="34">
        <f t="shared" si="157"/>
        <v>977.65585830534189</v>
      </c>
      <c r="M271" s="34">
        <f t="shared" si="157"/>
        <v>1036.8091075980337</v>
      </c>
      <c r="N271" s="34">
        <f t="shared" si="157"/>
        <v>1096.2102518576742</v>
      </c>
      <c r="O271" s="34">
        <f t="shared" si="157"/>
        <v>1157.9874902778595</v>
      </c>
      <c r="P271" s="34">
        <f t="shared" si="157"/>
        <v>1222.2243094598468</v>
      </c>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row>
    <row r="272" spans="1:42" ht="15.75" x14ac:dyDescent="0.3">
      <c r="A272" s="245"/>
      <c r="B272" s="6"/>
      <c r="C272" s="6"/>
      <c r="D272" s="6"/>
      <c r="E272" s="6"/>
      <c r="F272" s="6"/>
      <c r="G272" s="6"/>
      <c r="H272" s="15">
        <f t="shared" ref="H272:P272" si="158">H271/G271-1</f>
        <v>1.4345287240314031E-2</v>
      </c>
      <c r="I272" s="15">
        <f t="shared" si="158"/>
        <v>0.24202425092462532</v>
      </c>
      <c r="J272" s="15">
        <f t="shared" si="158"/>
        <v>0.14201116262304647</v>
      </c>
      <c r="K272" s="15">
        <f t="shared" si="158"/>
        <v>6.9772487637978164E-2</v>
      </c>
      <c r="L272" s="15">
        <f t="shared" si="158"/>
        <v>6.1654385583784554E-2</v>
      </c>
      <c r="M272" s="15">
        <f t="shared" si="158"/>
        <v>6.0505185736039468E-2</v>
      </c>
      <c r="N272" s="15">
        <f t="shared" si="158"/>
        <v>5.729226703771384E-2</v>
      </c>
      <c r="O272" s="15">
        <f t="shared" si="158"/>
        <v>5.6355282497582593E-2</v>
      </c>
      <c r="P272" s="15">
        <f t="shared" si="158"/>
        <v>5.5472809267200107E-2</v>
      </c>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row>
    <row r="273" spans="1:42" ht="15.75" x14ac:dyDescent="0.3">
      <c r="A273" s="233"/>
      <c r="B273" s="6"/>
      <c r="C273" s="6"/>
      <c r="D273" s="6"/>
      <c r="E273" s="6"/>
      <c r="F273" s="6"/>
      <c r="G273" s="6"/>
      <c r="H273" s="12"/>
      <c r="I273" s="12"/>
      <c r="J273" s="12"/>
      <c r="K273" s="12"/>
      <c r="L273" s="12"/>
      <c r="M273" s="12"/>
      <c r="N273" s="12"/>
      <c r="O273" s="12"/>
      <c r="P273" s="12"/>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row>
    <row r="274" spans="1:42" ht="15.75" x14ac:dyDescent="0.3">
      <c r="A274" s="6" t="s">
        <v>471</v>
      </c>
      <c r="B274" s="6"/>
      <c r="C274" s="6"/>
      <c r="D274" s="6"/>
      <c r="E274" s="6"/>
      <c r="F274" s="6"/>
      <c r="G274" s="25">
        <f>G228/AVERAGE(G47)*1000/12</f>
        <v>17.460060682918751</v>
      </c>
      <c r="H274" s="25">
        <f>H228/AVERAGE(G47:H47)*1000/12</f>
        <v>18.230407510532704</v>
      </c>
      <c r="I274" s="25">
        <f>H274*(1+I275)</f>
        <v>19.415383998717328</v>
      </c>
      <c r="J274" s="25">
        <f t="shared" ref="J274:P274" si="159">I274*(1+J275)</f>
        <v>20.289076278659607</v>
      </c>
      <c r="K274" s="25">
        <f t="shared" si="159"/>
        <v>20.897748567019395</v>
      </c>
      <c r="L274" s="25">
        <f t="shared" si="159"/>
        <v>21.524681024029977</v>
      </c>
      <c r="M274" s="25">
        <f t="shared" si="159"/>
        <v>22.170421454750876</v>
      </c>
      <c r="N274" s="25">
        <f t="shared" si="159"/>
        <v>22.835534098393403</v>
      </c>
      <c r="O274" s="25">
        <f t="shared" si="159"/>
        <v>23.520600121345204</v>
      </c>
      <c r="P274" s="25">
        <f t="shared" si="159"/>
        <v>24.226218124985561</v>
      </c>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row>
    <row r="275" spans="1:42" ht="15.75" x14ac:dyDescent="0.3">
      <c r="A275" s="233" t="s">
        <v>123</v>
      </c>
      <c r="B275" s="6"/>
      <c r="C275" s="6"/>
      <c r="D275" s="6"/>
      <c r="E275" s="6"/>
      <c r="F275" s="6"/>
      <c r="G275" s="6"/>
      <c r="H275" s="21">
        <f>H274/G274-1</f>
        <v>4.4120512614689078E-2</v>
      </c>
      <c r="I275" s="388">
        <v>6.5000000000000002E-2</v>
      </c>
      <c r="J275" s="388">
        <v>4.4999999999999998E-2</v>
      </c>
      <c r="K275" s="388">
        <v>0.03</v>
      </c>
      <c r="L275" s="388">
        <v>0.03</v>
      </c>
      <c r="M275" s="388">
        <v>0.03</v>
      </c>
      <c r="N275" s="388">
        <v>0.03</v>
      </c>
      <c r="O275" s="388">
        <v>0.03</v>
      </c>
      <c r="P275" s="388">
        <v>0.03</v>
      </c>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row>
    <row r="276" spans="1:42" ht="15.75" x14ac:dyDescent="0.3">
      <c r="A276" s="233"/>
      <c r="B276" s="6"/>
      <c r="C276" s="6"/>
      <c r="D276" s="6"/>
      <c r="E276" s="6"/>
      <c r="F276" s="6"/>
      <c r="G276" s="6"/>
      <c r="H276" s="7"/>
      <c r="I276" s="330"/>
      <c r="J276" s="330"/>
      <c r="K276" s="330"/>
      <c r="L276" s="330"/>
      <c r="M276" s="330"/>
      <c r="N276" s="330"/>
      <c r="O276" s="330"/>
      <c r="P276" s="330"/>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row>
    <row r="277" spans="1:42" ht="15.75" x14ac:dyDescent="0.3">
      <c r="A277" s="233" t="s">
        <v>454</v>
      </c>
      <c r="B277" s="6"/>
      <c r="C277" s="6"/>
      <c r="D277" s="6"/>
      <c r="E277" s="6"/>
      <c r="F277" s="6"/>
      <c r="G277" s="6"/>
      <c r="H277" s="12">
        <f>H266/AVERAGE(G21:H21)/12*1000000</f>
        <v>23597.716203727327</v>
      </c>
      <c r="I277" s="12">
        <f t="shared" ref="I277:P277" si="160">I266/AVERAGE(H21:I21)/12*1000000</f>
        <v>20839.924987318176</v>
      </c>
      <c r="J277" s="12">
        <f t="shared" si="160"/>
        <v>21504.073928581765</v>
      </c>
      <c r="K277" s="12">
        <f t="shared" si="160"/>
        <v>22627.284163756991</v>
      </c>
      <c r="L277" s="12">
        <f t="shared" si="160"/>
        <v>23849.487378340575</v>
      </c>
      <c r="M277" s="12">
        <f t="shared" si="160"/>
        <v>25132.454717697154</v>
      </c>
      <c r="N277" s="12">
        <f t="shared" si="160"/>
        <v>26392.942527947525</v>
      </c>
      <c r="O277" s="12">
        <f t="shared" si="160"/>
        <v>27715.88643692806</v>
      </c>
      <c r="P277" s="12">
        <f t="shared" si="160"/>
        <v>29104.189066574232</v>
      </c>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row>
    <row r="278" spans="1:42" ht="15.75" x14ac:dyDescent="0.3">
      <c r="A278" s="233" t="s">
        <v>455</v>
      </c>
      <c r="B278" s="6"/>
      <c r="C278" s="6"/>
      <c r="D278" s="6"/>
      <c r="E278" s="6"/>
      <c r="F278" s="6"/>
      <c r="G278" s="6"/>
      <c r="H278" s="12">
        <f>H277/H176</f>
        <v>1169.9413090593616</v>
      </c>
      <c r="I278" s="12">
        <f t="shared" ref="I278:P278" si="161">I277/I176</f>
        <v>1170.7823026583244</v>
      </c>
      <c r="J278" s="12">
        <f t="shared" si="161"/>
        <v>1196.1327137936235</v>
      </c>
      <c r="K278" s="12">
        <f t="shared" si="161"/>
        <v>1233.931022652795</v>
      </c>
      <c r="L278" s="12">
        <f t="shared" si="161"/>
        <v>1275.0796927684014</v>
      </c>
      <c r="M278" s="12">
        <f t="shared" si="161"/>
        <v>1317.3252532249562</v>
      </c>
      <c r="N278" s="12">
        <f t="shared" si="161"/>
        <v>1356.2687303273435</v>
      </c>
      <c r="O278" s="12">
        <f t="shared" si="161"/>
        <v>1396.325078855981</v>
      </c>
      <c r="P278" s="12">
        <f t="shared" si="161"/>
        <v>1437.5173541469671</v>
      </c>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row>
    <row r="279" spans="1:42" ht="15.75" x14ac:dyDescent="0.3">
      <c r="A279" s="233"/>
      <c r="B279" s="6"/>
      <c r="C279" s="6"/>
      <c r="D279" s="6"/>
      <c r="E279" s="6"/>
      <c r="F279" s="6"/>
      <c r="G279" s="6"/>
      <c r="H279" s="7"/>
      <c r="I279" s="330"/>
      <c r="J279" s="330"/>
      <c r="K279" s="330"/>
      <c r="L279" s="330"/>
      <c r="M279" s="330"/>
      <c r="N279" s="330"/>
      <c r="O279" s="330"/>
      <c r="P279" s="330"/>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row>
    <row r="280" spans="1:42" ht="15.75" x14ac:dyDescent="0.3">
      <c r="A280" s="233"/>
      <c r="B280" s="6"/>
      <c r="C280" s="6"/>
      <c r="D280" s="6"/>
      <c r="E280" s="6"/>
      <c r="F280" s="6"/>
      <c r="G280" s="6"/>
      <c r="H280" s="7"/>
      <c r="I280" s="331"/>
      <c r="J280" s="331"/>
      <c r="K280" s="331"/>
      <c r="L280" s="331"/>
      <c r="M280" s="331"/>
      <c r="N280" s="331"/>
      <c r="O280" s="331"/>
      <c r="P280" s="331"/>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row>
    <row r="281" spans="1:42" ht="15.75" x14ac:dyDescent="0.3">
      <c r="A281" s="248" t="s">
        <v>54</v>
      </c>
      <c r="B281" s="6"/>
      <c r="C281" s="6"/>
      <c r="D281" s="6"/>
      <c r="E281" s="6"/>
      <c r="F281" s="6"/>
      <c r="G281" s="12">
        <f t="shared" ref="G281:P281" si="162">G295*1000000/AVERAGE(F21:G21)/12</f>
        <v>22195.485275581526</v>
      </c>
      <c r="H281" s="12">
        <f t="shared" si="162"/>
        <v>23892.545911222242</v>
      </c>
      <c r="I281" s="12">
        <f t="shared" si="162"/>
        <v>22419.716377751112</v>
      </c>
      <c r="J281" s="12">
        <f t="shared" si="162"/>
        <v>22989.495083365789</v>
      </c>
      <c r="K281" s="12">
        <f t="shared" si="162"/>
        <v>20912.794762953214</v>
      </c>
      <c r="L281" s="12">
        <f t="shared" si="162"/>
        <v>19050.491603772087</v>
      </c>
      <c r="M281" s="12">
        <f t="shared" si="162"/>
        <v>17439.176570119329</v>
      </c>
      <c r="N281" s="12">
        <f t="shared" si="162"/>
        <v>16088.914249930669</v>
      </c>
      <c r="O281" s="12">
        <f t="shared" si="162"/>
        <v>14948.791474226173</v>
      </c>
      <c r="P281" s="12">
        <f t="shared" si="162"/>
        <v>13988.699620849611</v>
      </c>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row>
    <row r="282" spans="1:42" ht="15.75" x14ac:dyDescent="0.3">
      <c r="A282" s="248"/>
      <c r="B282" s="6"/>
      <c r="C282" s="6"/>
      <c r="D282" s="6"/>
      <c r="E282" s="6"/>
      <c r="F282" s="6"/>
      <c r="G282" s="6"/>
      <c r="H282" s="7"/>
      <c r="I282" s="331"/>
      <c r="J282" s="331"/>
      <c r="K282" s="331"/>
      <c r="L282" s="331"/>
      <c r="M282" s="331"/>
      <c r="N282" s="331"/>
      <c r="O282" s="331"/>
      <c r="P282" s="331"/>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row>
    <row r="283" spans="1:42" ht="15.75" x14ac:dyDescent="0.3">
      <c r="A283" s="248" t="s">
        <v>55</v>
      </c>
      <c r="B283" s="6"/>
      <c r="C283" s="6"/>
      <c r="D283" s="6"/>
      <c r="E283" s="6"/>
      <c r="F283" s="6"/>
      <c r="G283" s="6"/>
      <c r="H283" s="62">
        <f t="shared" ref="H283:P283" si="163">H281/H176</f>
        <v>1184.5585479039287</v>
      </c>
      <c r="I283" s="62">
        <f t="shared" si="163"/>
        <v>1259.5346279635455</v>
      </c>
      <c r="J283" s="62">
        <f t="shared" si="163"/>
        <v>1278.7570966384351</v>
      </c>
      <c r="K283" s="62">
        <f t="shared" si="163"/>
        <v>1140.4349740616096</v>
      </c>
      <c r="L283" s="62">
        <f t="shared" si="163"/>
        <v>1018.5080541095832</v>
      </c>
      <c r="M283" s="62">
        <f t="shared" si="163"/>
        <v>914.07974069045304</v>
      </c>
      <c r="N283" s="62">
        <f t="shared" si="163"/>
        <v>826.76993211320791</v>
      </c>
      <c r="O283" s="62">
        <f t="shared" si="163"/>
        <v>753.11942418118872</v>
      </c>
      <c r="P283" s="62">
        <f t="shared" si="163"/>
        <v>690.93141268846853</v>
      </c>
      <c r="Q283" s="6"/>
      <c r="R283" s="6"/>
      <c r="S283" s="6"/>
      <c r="T283" s="233"/>
      <c r="U283" s="6"/>
      <c r="V283" s="6"/>
      <c r="W283" s="6"/>
      <c r="X283" s="6"/>
      <c r="Y283" s="6"/>
      <c r="Z283" s="6"/>
      <c r="AA283" s="6"/>
      <c r="AB283" s="6"/>
      <c r="AC283" s="6"/>
      <c r="AD283" s="6"/>
      <c r="AE283" s="6"/>
      <c r="AF283" s="6"/>
      <c r="AG283" s="6"/>
      <c r="AH283" s="6"/>
      <c r="AI283" s="6"/>
      <c r="AJ283" s="6"/>
      <c r="AK283" s="6"/>
      <c r="AL283" s="6"/>
      <c r="AM283" s="6"/>
      <c r="AN283" s="6"/>
      <c r="AO283" s="6"/>
      <c r="AP283" s="6"/>
    </row>
    <row r="284" spans="1:42" ht="15.75" x14ac:dyDescent="0.3">
      <c r="A284" s="248"/>
      <c r="B284" s="6"/>
      <c r="C284" s="6"/>
      <c r="D284" s="6"/>
      <c r="E284" s="6"/>
      <c r="F284" s="6"/>
      <c r="G284" s="6"/>
      <c r="H284" s="7"/>
      <c r="I284" s="331"/>
      <c r="J284" s="331"/>
      <c r="K284" s="331"/>
      <c r="L284" s="331"/>
      <c r="M284" s="331"/>
      <c r="N284" s="331"/>
      <c r="O284" s="331"/>
      <c r="P284" s="331"/>
      <c r="Q284" s="6"/>
      <c r="R284" s="6"/>
      <c r="S284" s="6"/>
      <c r="T284" s="233"/>
      <c r="U284" s="6"/>
      <c r="V284" s="6"/>
      <c r="W284" s="6"/>
      <c r="X284" s="6"/>
      <c r="Y284" s="6"/>
      <c r="Z284" s="6"/>
      <c r="AA284" s="6"/>
      <c r="AB284" s="6"/>
      <c r="AC284" s="6"/>
      <c r="AD284" s="6"/>
      <c r="AE284" s="6"/>
      <c r="AF284" s="6"/>
      <c r="AG284" s="6"/>
      <c r="AH284" s="6"/>
      <c r="AI284" s="6"/>
      <c r="AJ284" s="6"/>
      <c r="AK284" s="6"/>
      <c r="AL284" s="6"/>
      <c r="AM284" s="6"/>
      <c r="AN284" s="6"/>
      <c r="AO284" s="6"/>
      <c r="AP284" s="6"/>
    </row>
    <row r="285" spans="1:42" ht="15.75" x14ac:dyDescent="0.3">
      <c r="A285" s="249" t="s">
        <v>239</v>
      </c>
      <c r="B285" s="6"/>
      <c r="C285" s="6"/>
      <c r="D285" s="6"/>
      <c r="E285" s="6"/>
      <c r="F285" s="6"/>
      <c r="G285" s="332">
        <v>619</v>
      </c>
      <c r="H285" s="333">
        <v>428</v>
      </c>
      <c r="I285" s="26">
        <f t="shared" ref="I285:P285" si="164">I286*I$266</f>
        <v>332.26659569640418</v>
      </c>
      <c r="J285" s="26">
        <f t="shared" si="164"/>
        <v>389.72118415408198</v>
      </c>
      <c r="K285" s="26">
        <f t="shared" si="164"/>
        <v>421.76183331836387</v>
      </c>
      <c r="L285" s="26">
        <f t="shared" si="164"/>
        <v>452.40653418250253</v>
      </c>
      <c r="M285" s="26">
        <f t="shared" si="164"/>
        <v>480.93684988763943</v>
      </c>
      <c r="N285" s="26">
        <f t="shared" si="164"/>
        <v>513.21751222781552</v>
      </c>
      <c r="O285" s="26">
        <f t="shared" si="164"/>
        <v>547.24891796129532</v>
      </c>
      <c r="P285" s="26">
        <f t="shared" si="164"/>
        <v>583.12026447083792</v>
      </c>
      <c r="Q285" s="6"/>
      <c r="R285" s="6"/>
      <c r="S285" s="6"/>
      <c r="T285" s="233"/>
      <c r="U285" s="6"/>
      <c r="V285" s="6"/>
      <c r="W285" s="6"/>
      <c r="X285" s="6"/>
      <c r="Y285" s="6"/>
      <c r="Z285" s="6"/>
      <c r="AA285" s="6"/>
      <c r="AB285" s="6"/>
      <c r="AC285" s="6"/>
      <c r="AD285" s="6"/>
      <c r="AE285" s="6"/>
      <c r="AF285" s="6"/>
      <c r="AG285" s="6"/>
      <c r="AH285" s="6"/>
      <c r="AI285" s="6"/>
      <c r="AJ285" s="6"/>
      <c r="AK285" s="6"/>
      <c r="AL285" s="6"/>
      <c r="AM285" s="6"/>
      <c r="AN285" s="6"/>
      <c r="AO285" s="6"/>
      <c r="AP285" s="6"/>
    </row>
    <row r="286" spans="1:42" ht="15.75" x14ac:dyDescent="0.3">
      <c r="A286" s="250" t="s">
        <v>285</v>
      </c>
      <c r="B286" s="6"/>
      <c r="C286" s="6"/>
      <c r="D286" s="6"/>
      <c r="E286" s="6"/>
      <c r="F286" s="6"/>
      <c r="G286" s="15">
        <f>G285/G$266</f>
        <v>8.5343995588032545E-2</v>
      </c>
      <c r="H286" s="15">
        <f>H285/H$266</f>
        <v>5.1417587698222009E-2</v>
      </c>
      <c r="I286" s="281">
        <v>4.1000000000000002E-2</v>
      </c>
      <c r="J286" s="281">
        <f t="shared" ref="J286:P286" si="165">I286*(H71/I71)</f>
        <v>4.1822742474916387E-2</v>
      </c>
      <c r="K286" s="281">
        <f t="shared" si="165"/>
        <v>4.1134868421052628E-2</v>
      </c>
      <c r="L286" s="281">
        <f t="shared" si="165"/>
        <v>4.0469255663430417E-2</v>
      </c>
      <c r="M286" s="281">
        <f t="shared" si="165"/>
        <v>3.9510268562401259E-2</v>
      </c>
      <c r="N286" s="281">
        <f t="shared" si="165"/>
        <v>3.8895800933125967E-2</v>
      </c>
      <c r="O286" s="281">
        <f t="shared" si="165"/>
        <v>3.8300153139356807E-2</v>
      </c>
      <c r="P286" s="281">
        <f t="shared" si="165"/>
        <v>3.7722473604826535E-2</v>
      </c>
      <c r="Q286" s="6"/>
      <c r="R286" s="6"/>
      <c r="S286" s="6"/>
      <c r="T286" s="233"/>
      <c r="U286" s="6"/>
      <c r="V286" s="6"/>
      <c r="W286" s="6"/>
      <c r="X286" s="6"/>
      <c r="Y286" s="6"/>
      <c r="Z286" s="6"/>
      <c r="AA286" s="6"/>
      <c r="AB286" s="6"/>
      <c r="AC286" s="6"/>
      <c r="AD286" s="6"/>
      <c r="AE286" s="6"/>
      <c r="AF286" s="6"/>
      <c r="AG286" s="6"/>
      <c r="AH286" s="6"/>
      <c r="AI286" s="6"/>
      <c r="AJ286" s="6"/>
      <c r="AK286" s="6"/>
      <c r="AL286" s="6"/>
      <c r="AM286" s="6"/>
      <c r="AN286" s="6"/>
      <c r="AO286" s="6"/>
      <c r="AP286" s="6"/>
    </row>
    <row r="287" spans="1:42" ht="15.75" x14ac:dyDescent="0.3">
      <c r="A287" s="249"/>
      <c r="B287" s="6"/>
      <c r="C287" s="6"/>
      <c r="D287" s="6"/>
      <c r="E287" s="6"/>
      <c r="F287" s="6"/>
      <c r="G287" s="6"/>
      <c r="H287" s="26"/>
      <c r="I287" s="26"/>
      <c r="J287" s="26"/>
      <c r="K287" s="26"/>
      <c r="L287" s="26"/>
      <c r="M287" s="26"/>
      <c r="N287" s="26"/>
      <c r="O287" s="26"/>
      <c r="P287" s="26"/>
      <c r="Q287" s="6"/>
      <c r="R287" s="6"/>
      <c r="S287" s="6"/>
      <c r="T287" s="233"/>
      <c r="U287" s="6"/>
      <c r="V287" s="6"/>
      <c r="W287" s="6"/>
      <c r="X287" s="6"/>
      <c r="Y287" s="6"/>
      <c r="Z287" s="6"/>
      <c r="AA287" s="6"/>
      <c r="AB287" s="6"/>
      <c r="AC287" s="6"/>
      <c r="AD287" s="6"/>
      <c r="AE287" s="6"/>
      <c r="AF287" s="6"/>
      <c r="AG287" s="6"/>
      <c r="AH287" s="6"/>
      <c r="AI287" s="6"/>
      <c r="AJ287" s="6"/>
      <c r="AK287" s="6"/>
      <c r="AL287" s="6"/>
      <c r="AM287" s="6"/>
      <c r="AN287" s="6"/>
      <c r="AO287" s="6"/>
      <c r="AP287" s="6"/>
    </row>
    <row r="288" spans="1:42" ht="15.75" x14ac:dyDescent="0.3">
      <c r="A288" s="249" t="s">
        <v>240</v>
      </c>
      <c r="B288" s="6"/>
      <c r="C288" s="6"/>
      <c r="D288" s="6"/>
      <c r="E288" s="6"/>
      <c r="F288" s="6"/>
      <c r="G288" s="332">
        <v>617</v>
      </c>
      <c r="H288" s="333">
        <v>610</v>
      </c>
      <c r="I288" s="26">
        <f t="shared" ref="I288:P288" si="166">I289*I$266</f>
        <v>907.65509068286019</v>
      </c>
      <c r="J288" s="26">
        <f t="shared" si="166"/>
        <v>931.84033636201934</v>
      </c>
      <c r="K288" s="26">
        <f t="shared" si="166"/>
        <v>1008.4509249275554</v>
      </c>
      <c r="L288" s="26">
        <f t="shared" si="166"/>
        <v>1081.7237402684389</v>
      </c>
      <c r="M288" s="26">
        <f t="shared" si="166"/>
        <v>1149.9409685438161</v>
      </c>
      <c r="N288" s="26">
        <f t="shared" si="166"/>
        <v>1227.1254390733054</v>
      </c>
      <c r="O288" s="26">
        <f t="shared" si="166"/>
        <v>1308.4960133580753</v>
      </c>
      <c r="P288" s="26">
        <f t="shared" si="166"/>
        <v>1394.2659662277536</v>
      </c>
      <c r="Q288" s="6"/>
      <c r="R288" s="6"/>
      <c r="S288" s="6"/>
      <c r="T288" s="233"/>
      <c r="U288" s="6"/>
      <c r="V288" s="6"/>
      <c r="W288" s="6"/>
      <c r="X288" s="6"/>
      <c r="Y288" s="6"/>
      <c r="Z288" s="6"/>
      <c r="AA288" s="6"/>
      <c r="AB288" s="6"/>
      <c r="AC288" s="6"/>
      <c r="AD288" s="6"/>
      <c r="AE288" s="6"/>
      <c r="AF288" s="6"/>
      <c r="AG288" s="6"/>
      <c r="AH288" s="6"/>
      <c r="AI288" s="6"/>
      <c r="AJ288" s="6"/>
      <c r="AK288" s="6"/>
      <c r="AL288" s="6"/>
      <c r="AM288" s="6"/>
      <c r="AN288" s="6"/>
      <c r="AO288" s="6"/>
      <c r="AP288" s="6"/>
    </row>
    <row r="289" spans="1:42" ht="15.75" x14ac:dyDescent="0.3">
      <c r="A289" s="250" t="s">
        <v>285</v>
      </c>
      <c r="B289" s="6"/>
      <c r="C289" s="6"/>
      <c r="D289" s="6"/>
      <c r="E289" s="6"/>
      <c r="F289" s="6"/>
      <c r="G289" s="15">
        <f>G288/G$266</f>
        <v>8.5068247621673795E-2</v>
      </c>
      <c r="H289" s="15">
        <f>H288/H$266</f>
        <v>7.3282075925036036E-2</v>
      </c>
      <c r="I289" s="281">
        <v>0.112</v>
      </c>
      <c r="J289" s="281">
        <v>0.1</v>
      </c>
      <c r="K289" s="281">
        <f t="shared" ref="K289:P289" si="167">J289*(I71/J71)</f>
        <v>9.8355263157894737E-2</v>
      </c>
      <c r="L289" s="281">
        <f t="shared" si="167"/>
        <v>9.6763754045307446E-2</v>
      </c>
      <c r="M289" s="281">
        <f t="shared" si="167"/>
        <v>9.4470774091627172E-2</v>
      </c>
      <c r="N289" s="281">
        <f t="shared" si="167"/>
        <v>9.3001555209953332E-2</v>
      </c>
      <c r="O289" s="281">
        <f t="shared" si="167"/>
        <v>9.1577335375191415E-2</v>
      </c>
      <c r="P289" s="281">
        <f t="shared" si="167"/>
        <v>9.0196078431372534E-2</v>
      </c>
      <c r="Q289" s="6"/>
      <c r="R289" s="6"/>
      <c r="S289" s="6"/>
      <c r="T289" s="233"/>
      <c r="U289" s="6"/>
      <c r="V289" s="6"/>
      <c r="W289" s="6"/>
      <c r="X289" s="6"/>
      <c r="Y289" s="6"/>
      <c r="Z289" s="6"/>
      <c r="AA289" s="6"/>
      <c r="AB289" s="6"/>
      <c r="AC289" s="6"/>
      <c r="AD289" s="6"/>
      <c r="AE289" s="6"/>
      <c r="AF289" s="6"/>
      <c r="AG289" s="6"/>
      <c r="AH289" s="6"/>
      <c r="AI289" s="6"/>
      <c r="AJ289" s="6"/>
      <c r="AK289" s="6"/>
      <c r="AL289" s="6"/>
      <c r="AM289" s="6"/>
      <c r="AN289" s="6"/>
      <c r="AO289" s="6"/>
      <c r="AP289" s="6"/>
    </row>
    <row r="290" spans="1:42" ht="15.75" x14ac:dyDescent="0.3">
      <c r="A290" s="249"/>
      <c r="B290" s="6"/>
      <c r="C290" s="6"/>
      <c r="D290" s="6"/>
      <c r="E290" s="6"/>
      <c r="F290" s="6"/>
      <c r="G290" s="6"/>
      <c r="H290" s="26"/>
      <c r="I290" s="26"/>
      <c r="J290" s="26"/>
      <c r="K290" s="26"/>
      <c r="L290" s="26"/>
      <c r="M290" s="26"/>
      <c r="N290" s="26"/>
      <c r="O290" s="26"/>
      <c r="P290" s="26"/>
      <c r="Q290" s="6"/>
      <c r="R290" s="6"/>
      <c r="S290" s="6"/>
      <c r="T290" s="233"/>
      <c r="U290" s="6"/>
      <c r="V290" s="6"/>
      <c r="W290" s="6"/>
      <c r="X290" s="6"/>
      <c r="Y290" s="6"/>
      <c r="Z290" s="6"/>
      <c r="AA290" s="6"/>
      <c r="AB290" s="6"/>
      <c r="AC290" s="6"/>
      <c r="AD290" s="6"/>
      <c r="AE290" s="6"/>
      <c r="AF290" s="6"/>
      <c r="AG290" s="6"/>
      <c r="AH290" s="6"/>
      <c r="AI290" s="6"/>
      <c r="AJ290" s="6"/>
      <c r="AK290" s="6"/>
      <c r="AL290" s="6"/>
      <c r="AM290" s="6"/>
      <c r="AN290" s="6"/>
      <c r="AO290" s="6"/>
      <c r="AP290" s="6"/>
    </row>
    <row r="291" spans="1:42" ht="15.75" x14ac:dyDescent="0.3">
      <c r="A291" s="249" t="s">
        <v>242</v>
      </c>
      <c r="B291" s="6"/>
      <c r="C291" s="6"/>
      <c r="D291" s="6"/>
      <c r="E291" s="6"/>
      <c r="F291" s="6"/>
      <c r="G291" s="332">
        <v>6512</v>
      </c>
      <c r="H291" s="333">
        <v>7390</v>
      </c>
      <c r="I291" s="26">
        <f t="shared" ref="I291:P291" si="168">H369/I293</f>
        <v>7478.4782608695659</v>
      </c>
      <c r="J291" s="26">
        <f t="shared" si="168"/>
        <v>8640.522362948961</v>
      </c>
      <c r="K291" s="26">
        <f t="shared" si="168"/>
        <v>8046.0437582805953</v>
      </c>
      <c r="L291" s="26">
        <f t="shared" si="168"/>
        <v>7395.4447559683567</v>
      </c>
      <c r="M291" s="26">
        <f t="shared" si="168"/>
        <v>6815.4734481275791</v>
      </c>
      <c r="N291" s="26">
        <f t="shared" si="168"/>
        <v>6303.0201274952187</v>
      </c>
      <c r="O291" s="26">
        <f t="shared" si="168"/>
        <v>5850.8354349713964</v>
      </c>
      <c r="P291" s="26">
        <f t="shared" si="168"/>
        <v>5452.4597763225029</v>
      </c>
      <c r="Q291" s="6"/>
      <c r="R291" s="6"/>
      <c r="S291" s="6"/>
      <c r="T291" s="233"/>
      <c r="U291" s="6"/>
      <c r="V291" s="6"/>
      <c r="W291" s="6"/>
      <c r="X291" s="6"/>
      <c r="Y291" s="6"/>
      <c r="Z291" s="6"/>
      <c r="AA291" s="6"/>
      <c r="AB291" s="6"/>
      <c r="AC291" s="6"/>
      <c r="AD291" s="6"/>
      <c r="AE291" s="6"/>
      <c r="AF291" s="6"/>
      <c r="AG291" s="6"/>
      <c r="AH291" s="6"/>
      <c r="AI291" s="6"/>
      <c r="AJ291" s="6"/>
      <c r="AK291" s="6"/>
      <c r="AL291" s="6"/>
      <c r="AM291" s="6"/>
      <c r="AN291" s="6"/>
      <c r="AO291" s="6"/>
      <c r="AP291" s="6"/>
    </row>
    <row r="292" spans="1:42" ht="15.75" x14ac:dyDescent="0.3">
      <c r="A292" s="249" t="s">
        <v>241</v>
      </c>
      <c r="B292" s="6"/>
      <c r="C292" s="6"/>
      <c r="D292" s="6"/>
      <c r="E292" s="6"/>
      <c r="F292" s="6"/>
      <c r="G292" s="334">
        <f>G291/AVERAGE(F369:G369)</f>
        <v>0.10042563691320708</v>
      </c>
      <c r="H292" s="334">
        <f>H291/AVERAGE(G369:H369)</f>
        <v>0.110590664890831</v>
      </c>
      <c r="I292" s="334">
        <f t="shared" ref="I292:P292" si="169">1/I293</f>
        <v>0.10869565217391305</v>
      </c>
      <c r="J292" s="334">
        <f t="shared" si="169"/>
        <v>0.10869565217391305</v>
      </c>
      <c r="K292" s="334">
        <f t="shared" si="169"/>
        <v>0.10869565217391305</v>
      </c>
      <c r="L292" s="334">
        <f t="shared" si="169"/>
        <v>0.10869565217391305</v>
      </c>
      <c r="M292" s="334">
        <f t="shared" si="169"/>
        <v>0.10869565217391305</v>
      </c>
      <c r="N292" s="334">
        <f t="shared" si="169"/>
        <v>0.10869565217391305</v>
      </c>
      <c r="O292" s="334">
        <f t="shared" si="169"/>
        <v>0.10869565217391305</v>
      </c>
      <c r="P292" s="334">
        <f t="shared" si="169"/>
        <v>0.10869565217391305</v>
      </c>
      <c r="Q292" s="6"/>
      <c r="R292" s="6"/>
      <c r="S292" s="6"/>
      <c r="T292" s="233"/>
      <c r="U292" s="6"/>
      <c r="V292" s="6"/>
      <c r="W292" s="6"/>
      <c r="X292" s="6"/>
      <c r="Y292" s="6"/>
      <c r="Z292" s="6"/>
      <c r="AA292" s="6"/>
      <c r="AB292" s="6"/>
      <c r="AC292" s="6"/>
      <c r="AD292" s="6"/>
      <c r="AE292" s="6"/>
      <c r="AF292" s="6"/>
      <c r="AG292" s="6"/>
      <c r="AH292" s="6"/>
      <c r="AI292" s="6"/>
      <c r="AJ292" s="6"/>
      <c r="AK292" s="6"/>
      <c r="AL292" s="6"/>
      <c r="AM292" s="6"/>
      <c r="AN292" s="6"/>
      <c r="AO292" s="6"/>
      <c r="AP292" s="6"/>
    </row>
    <row r="293" spans="1:42" ht="15.75" x14ac:dyDescent="0.3">
      <c r="A293" s="290" t="s">
        <v>292</v>
      </c>
      <c r="B293" s="6"/>
      <c r="C293" s="6"/>
      <c r="D293" s="6"/>
      <c r="E293" s="6"/>
      <c r="F293" s="6"/>
      <c r="G293" s="8">
        <f>1/G292</f>
        <v>9.9576167076167081</v>
      </c>
      <c r="H293" s="8">
        <f>1/H292</f>
        <v>9.0423545331529098</v>
      </c>
      <c r="I293" s="386">
        <v>9.1999999999999993</v>
      </c>
      <c r="J293" s="8">
        <f t="shared" ref="J293:K293" si="170">I293</f>
        <v>9.1999999999999993</v>
      </c>
      <c r="K293" s="8">
        <f t="shared" si="170"/>
        <v>9.1999999999999993</v>
      </c>
      <c r="L293" s="8">
        <f>K293</f>
        <v>9.1999999999999993</v>
      </c>
      <c r="M293" s="8">
        <f>L293</f>
        <v>9.1999999999999993</v>
      </c>
      <c r="N293" s="8">
        <f>M293</f>
        <v>9.1999999999999993</v>
      </c>
      <c r="O293" s="8">
        <f>N293</f>
        <v>9.1999999999999993</v>
      </c>
      <c r="P293" s="8">
        <f>O293</f>
        <v>9.1999999999999993</v>
      </c>
      <c r="Q293" s="6"/>
      <c r="R293" s="6"/>
      <c r="S293" s="6"/>
      <c r="T293" s="233"/>
      <c r="U293" s="6"/>
      <c r="V293" s="6"/>
      <c r="W293" s="6"/>
      <c r="X293" s="6"/>
      <c r="Y293" s="6"/>
      <c r="Z293" s="6"/>
      <c r="AA293" s="6"/>
      <c r="AB293" s="6"/>
      <c r="AC293" s="6"/>
      <c r="AD293" s="6"/>
      <c r="AE293" s="6"/>
      <c r="AF293" s="6"/>
      <c r="AG293" s="6"/>
      <c r="AH293" s="6"/>
      <c r="AI293" s="6"/>
      <c r="AJ293" s="6"/>
      <c r="AK293" s="6"/>
      <c r="AL293" s="6"/>
      <c r="AM293" s="6"/>
      <c r="AN293" s="6"/>
      <c r="AO293" s="6"/>
      <c r="AP293" s="6"/>
    </row>
    <row r="294" spans="1:42" ht="15.75" x14ac:dyDescent="0.3">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row>
    <row r="295" spans="1:42" ht="15.75" x14ac:dyDescent="0.3">
      <c r="A295" s="248" t="s">
        <v>56</v>
      </c>
      <c r="B295" s="6"/>
      <c r="C295" s="6"/>
      <c r="D295" s="6"/>
      <c r="E295" s="6"/>
      <c r="F295" s="6"/>
      <c r="G295" s="26">
        <f t="shared" ref="G295:P295" si="171">G285+G288+G291</f>
        <v>7748</v>
      </c>
      <c r="H295" s="26">
        <f t="shared" si="171"/>
        <v>8428</v>
      </c>
      <c r="I295" s="26">
        <f t="shared" si="171"/>
        <v>8718.3999472488304</v>
      </c>
      <c r="J295" s="26">
        <f t="shared" si="171"/>
        <v>9962.0838834650622</v>
      </c>
      <c r="K295" s="26">
        <f t="shared" si="171"/>
        <v>9476.256516526515</v>
      </c>
      <c r="L295" s="26">
        <f t="shared" si="171"/>
        <v>8929.5750304192989</v>
      </c>
      <c r="M295" s="26">
        <f t="shared" si="171"/>
        <v>8446.3512665590351</v>
      </c>
      <c r="N295" s="26">
        <f t="shared" si="171"/>
        <v>8043.3630787963393</v>
      </c>
      <c r="O295" s="26">
        <f t="shared" si="171"/>
        <v>7706.5803662907674</v>
      </c>
      <c r="P295" s="26">
        <f t="shared" si="171"/>
        <v>7429.8460070210949</v>
      </c>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row>
    <row r="296" spans="1:42" ht="15.75" x14ac:dyDescent="0.3">
      <c r="A296" s="248"/>
      <c r="B296" s="6"/>
      <c r="C296" s="6"/>
      <c r="D296" s="6"/>
      <c r="E296" s="6"/>
      <c r="F296" s="6"/>
      <c r="G296" s="6"/>
      <c r="H296" s="6"/>
      <c r="I296" s="7"/>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row>
    <row r="297" spans="1:42" ht="15.75" x14ac:dyDescent="0.3">
      <c r="A297" s="20" t="s">
        <v>38</v>
      </c>
      <c r="B297" s="20"/>
      <c r="C297" s="20"/>
      <c r="D297" s="20"/>
      <c r="E297" s="20"/>
      <c r="F297" s="20"/>
      <c r="G297" s="395">
        <f>G253-G285-G288</f>
        <v>10901</v>
      </c>
      <c r="H297" s="395">
        <f>H253-H285-H288</f>
        <v>11203</v>
      </c>
      <c r="I297" s="34">
        <f>I253-I285-I288</f>
        <v>12177.253109313169</v>
      </c>
      <c r="J297" s="34">
        <f t="shared" ref="J297:P297" si="172">J253-J285-J288</f>
        <v>14154.227500904704</v>
      </c>
      <c r="K297" s="34">
        <f t="shared" si="172"/>
        <v>15456.472027752045</v>
      </c>
      <c r="L297" s="34">
        <f t="shared" si="172"/>
        <v>16752.249145795282</v>
      </c>
      <c r="M297" s="34">
        <f t="shared" si="172"/>
        <v>18149.778389146613</v>
      </c>
      <c r="N297" s="34">
        <f t="shared" si="172"/>
        <v>19591.8705908068</v>
      </c>
      <c r="O297" s="34">
        <f t="shared" si="172"/>
        <v>21129.339460504241</v>
      </c>
      <c r="P297" s="34">
        <f t="shared" si="172"/>
        <v>22767.947995468781</v>
      </c>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row>
    <row r="298" spans="1:42" ht="15.75" x14ac:dyDescent="0.3">
      <c r="A298" s="233" t="s">
        <v>39</v>
      </c>
      <c r="B298" s="6"/>
      <c r="C298" s="6"/>
      <c r="D298" s="6"/>
      <c r="E298" s="6"/>
      <c r="F298" s="6"/>
      <c r="G298" s="336">
        <f>G297/G253</f>
        <v>0.89816264315728767</v>
      </c>
      <c r="H298" s="336">
        <f>H297/H253</f>
        <v>0.9152030062903358</v>
      </c>
      <c r="I298" s="336">
        <f t="shared" ref="I298:P298" si="173">I297/I253</f>
        <v>0.90758697674734479</v>
      </c>
      <c r="J298" s="336">
        <f t="shared" si="173"/>
        <v>0.9146045788885554</v>
      </c>
      <c r="K298" s="336">
        <f t="shared" si="173"/>
        <v>0.91530529666593774</v>
      </c>
      <c r="L298" s="336">
        <f t="shared" si="173"/>
        <v>0.91610530224739894</v>
      </c>
      <c r="M298" s="336">
        <f t="shared" si="173"/>
        <v>0.91755188496695794</v>
      </c>
      <c r="N298" s="336">
        <f t="shared" si="173"/>
        <v>0.91841714185610246</v>
      </c>
      <c r="O298" s="336">
        <f t="shared" si="173"/>
        <v>0.91926307949604447</v>
      </c>
      <c r="P298" s="336">
        <f t="shared" si="173"/>
        <v>0.92009054262004786</v>
      </c>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row>
    <row r="299" spans="1:42" ht="15.75" x14ac:dyDescent="0.3">
      <c r="A299" s="233"/>
      <c r="B299" s="6"/>
      <c r="C299" s="6"/>
      <c r="D299" s="6"/>
      <c r="E299" s="6"/>
      <c r="F299" s="6"/>
      <c r="G299" s="307"/>
      <c r="H299" s="307"/>
      <c r="I299" s="307"/>
      <c r="J299" s="307"/>
      <c r="K299" s="307"/>
      <c r="L299" s="307"/>
      <c r="M299" s="307"/>
      <c r="N299" s="307"/>
      <c r="O299" s="307"/>
      <c r="P299" s="307"/>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row>
    <row r="300" spans="1:42" ht="15.75" x14ac:dyDescent="0.3">
      <c r="A300" s="39" t="s">
        <v>287</v>
      </c>
      <c r="B300" s="6"/>
      <c r="C300" s="6"/>
      <c r="D300" s="6"/>
      <c r="E300" s="6"/>
      <c r="F300" s="6"/>
      <c r="G300" s="358">
        <v>4884</v>
      </c>
      <c r="H300" s="358">
        <v>3917</v>
      </c>
      <c r="I300" s="337">
        <f t="shared" ref="I300:P300" si="174">I268</f>
        <v>5313.1114860240396</v>
      </c>
      <c r="J300" s="337">
        <f t="shared" si="174"/>
        <v>6157.3856578006116</v>
      </c>
      <c r="K300" s="337">
        <f t="shared" si="174"/>
        <v>6633.538258306432</v>
      </c>
      <c r="L300" s="337">
        <f t="shared" si="174"/>
        <v>7107.361502421888</v>
      </c>
      <c r="M300" s="337">
        <f t="shared" si="174"/>
        <v>7608.2041492463704</v>
      </c>
      <c r="N300" s="337">
        <f t="shared" si="174"/>
        <v>8137.5369982260563</v>
      </c>
      <c r="O300" s="337">
        <f t="shared" si="174"/>
        <v>8696.6580252212188</v>
      </c>
      <c r="P300" s="337">
        <f t="shared" si="174"/>
        <v>9287.1680788596732</v>
      </c>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row>
    <row r="301" spans="1:42" ht="15.75" x14ac:dyDescent="0.3">
      <c r="A301" s="233" t="s">
        <v>288</v>
      </c>
      <c r="B301" s="6"/>
      <c r="C301" s="6"/>
      <c r="D301" s="6"/>
      <c r="E301" s="6"/>
      <c r="F301" s="6"/>
      <c r="G301" s="307">
        <f>G300/(G377+G383)</f>
        <v>0.31341846884425334</v>
      </c>
      <c r="H301" s="307">
        <f t="shared" ref="H301:P301" si="175">H300/(H377+H383)</f>
        <v>0.29903046034048403</v>
      </c>
      <c r="I301" s="307">
        <f t="shared" si="175"/>
        <v>0.42820012951727271</v>
      </c>
      <c r="J301" s="307">
        <f t="shared" si="175"/>
        <v>0.43444120412284881</v>
      </c>
      <c r="K301" s="307">
        <f t="shared" si="175"/>
        <v>0.43936963030631604</v>
      </c>
      <c r="L301" s="307">
        <f t="shared" si="175"/>
        <v>0.44617060518745522</v>
      </c>
      <c r="M301" s="307">
        <f t="shared" si="175"/>
        <v>0.45301748728859353</v>
      </c>
      <c r="N301" s="307">
        <f t="shared" si="175"/>
        <v>0.45991906442214481</v>
      </c>
      <c r="O301" s="307">
        <f t="shared" si="175"/>
        <v>0.46687001701886532</v>
      </c>
      <c r="P301" s="307">
        <f t="shared" si="175"/>
        <v>0.47387840400024039</v>
      </c>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row>
    <row r="302" spans="1:42" ht="15.75" x14ac:dyDescent="0.3">
      <c r="A302" s="233"/>
      <c r="B302" s="6"/>
      <c r="C302" s="6"/>
      <c r="D302" s="6"/>
      <c r="E302" s="6"/>
      <c r="F302" s="6"/>
      <c r="G302" s="307"/>
      <c r="H302" s="307"/>
      <c r="I302" s="307"/>
      <c r="J302" s="307"/>
      <c r="K302" s="307"/>
      <c r="L302" s="307"/>
      <c r="M302" s="307"/>
      <c r="N302" s="307"/>
      <c r="O302" s="307"/>
      <c r="P302" s="307"/>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row>
    <row r="303" spans="1:42" ht="15.75" x14ac:dyDescent="0.3">
      <c r="A303" s="20" t="s">
        <v>245</v>
      </c>
      <c r="B303" s="20"/>
      <c r="C303" s="20"/>
      <c r="D303" s="20"/>
      <c r="E303" s="20"/>
      <c r="F303" s="20"/>
      <c r="G303" s="396">
        <f>G297-G300</f>
        <v>6017</v>
      </c>
      <c r="H303" s="396">
        <f t="shared" ref="H303:P303" si="176">H297-H300</f>
        <v>7286</v>
      </c>
      <c r="I303" s="394">
        <f t="shared" si="176"/>
        <v>6864.1416232891297</v>
      </c>
      <c r="J303" s="394">
        <f t="shared" si="176"/>
        <v>7996.8418431040927</v>
      </c>
      <c r="K303" s="394">
        <f t="shared" si="176"/>
        <v>8822.9337694456117</v>
      </c>
      <c r="L303" s="394">
        <f t="shared" si="176"/>
        <v>9644.8876433733931</v>
      </c>
      <c r="M303" s="394">
        <f t="shared" si="176"/>
        <v>10541.574239900243</v>
      </c>
      <c r="N303" s="394">
        <f t="shared" si="176"/>
        <v>11454.333592580744</v>
      </c>
      <c r="O303" s="394">
        <f t="shared" si="176"/>
        <v>12432.681435283022</v>
      </c>
      <c r="P303" s="394">
        <f t="shared" si="176"/>
        <v>13480.779916609108</v>
      </c>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row>
    <row r="304" spans="1:42" ht="15.75" x14ac:dyDescent="0.3">
      <c r="A304" s="6" t="s">
        <v>516</v>
      </c>
      <c r="B304" s="6"/>
      <c r="C304" s="6"/>
      <c r="D304" s="6"/>
      <c r="E304" s="6"/>
      <c r="F304" s="6"/>
      <c r="G304" s="338"/>
      <c r="H304" s="336">
        <f>H303/G303-1</f>
        <v>0.21090244307794581</v>
      </c>
      <c r="I304" s="336">
        <f t="shared" ref="I304:P304" si="177">I303/H303-1</f>
        <v>-5.7899859554058519E-2</v>
      </c>
      <c r="J304" s="336">
        <f t="shared" si="177"/>
        <v>0.16501702353748948</v>
      </c>
      <c r="K304" s="336">
        <f t="shared" si="177"/>
        <v>0.10330227139028403</v>
      </c>
      <c r="L304" s="336">
        <f t="shared" si="177"/>
        <v>9.3161061321151539E-2</v>
      </c>
      <c r="M304" s="336">
        <f t="shared" si="177"/>
        <v>9.2970144358594631E-2</v>
      </c>
      <c r="N304" s="336">
        <f t="shared" si="177"/>
        <v>8.6586626618410989E-2</v>
      </c>
      <c r="O304" s="336">
        <f t="shared" si="177"/>
        <v>8.541289938822616E-2</v>
      </c>
      <c r="P304" s="336">
        <f t="shared" si="177"/>
        <v>8.4301885058492676E-2</v>
      </c>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row>
    <row r="305" spans="1:42" ht="15.75" x14ac:dyDescent="0.3">
      <c r="A305" s="233" t="s">
        <v>426</v>
      </c>
      <c r="B305" s="6"/>
      <c r="C305" s="6"/>
      <c r="D305" s="6"/>
      <c r="E305" s="6"/>
      <c r="F305" s="6"/>
      <c r="G305" s="336">
        <f>G303/G253</f>
        <v>0.49575677679822033</v>
      </c>
      <c r="H305" s="336">
        <f t="shared" ref="H305:P305" si="178">H303/H253</f>
        <v>0.59521280941099586</v>
      </c>
      <c r="I305" s="336">
        <f t="shared" si="178"/>
        <v>0.51159366467319578</v>
      </c>
      <c r="J305" s="336">
        <f t="shared" si="178"/>
        <v>0.51673241551918725</v>
      </c>
      <c r="K305" s="336">
        <f t="shared" si="178"/>
        <v>0.52247873879669837</v>
      </c>
      <c r="L305" s="336">
        <f t="shared" si="178"/>
        <v>0.52743560776688325</v>
      </c>
      <c r="M305" s="336">
        <f t="shared" si="178"/>
        <v>0.53292338379864834</v>
      </c>
      <c r="N305" s="336">
        <f t="shared" si="178"/>
        <v>0.53695007177623144</v>
      </c>
      <c r="O305" s="336">
        <f t="shared" si="178"/>
        <v>0.5409021443360742</v>
      </c>
      <c r="P305" s="336">
        <f t="shared" si="178"/>
        <v>0.54478067636498628</v>
      </c>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row>
    <row r="306" spans="1:42" ht="15.75" x14ac:dyDescent="0.3">
      <c r="A306" s="233" t="s">
        <v>427</v>
      </c>
      <c r="B306" s="6"/>
      <c r="C306" s="6"/>
      <c r="D306" s="6"/>
      <c r="E306" s="6"/>
      <c r="F306" s="6"/>
      <c r="G306" s="336">
        <f>G303/G228</f>
        <v>0.82958775679029362</v>
      </c>
      <c r="H306" s="336">
        <f t="shared" ref="H306:P306" si="179">H303/H228</f>
        <v>0.94012903225806455</v>
      </c>
      <c r="I306" s="336">
        <f t="shared" si="179"/>
        <v>0.84699999999999998</v>
      </c>
      <c r="J306" s="336">
        <f t="shared" si="179"/>
        <v>0.85817725752508367</v>
      </c>
      <c r="K306" s="336">
        <f t="shared" si="179"/>
        <v>0.86050986842105237</v>
      </c>
      <c r="L306" s="336">
        <f t="shared" si="179"/>
        <v>0.86276699029126214</v>
      </c>
      <c r="M306" s="336">
        <f t="shared" si="179"/>
        <v>0.86601895734597156</v>
      </c>
      <c r="N306" s="336">
        <f t="shared" si="179"/>
        <v>0.86810264385692082</v>
      </c>
      <c r="O306" s="336">
        <f t="shared" si="179"/>
        <v>0.87012251148545161</v>
      </c>
      <c r="P306" s="336">
        <f t="shared" si="179"/>
        <v>0.8720814479638006</v>
      </c>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row>
    <row r="307" spans="1:42" ht="15.75" x14ac:dyDescent="0.3">
      <c r="A307" s="233" t="s">
        <v>529</v>
      </c>
      <c r="B307" s="6"/>
      <c r="C307" s="6"/>
      <c r="D307" s="6"/>
      <c r="E307" s="6"/>
      <c r="F307" s="6"/>
      <c r="G307" s="336"/>
      <c r="H307" s="338">
        <f>H303*1000000/AVERAGE(G21,H21)/12</f>
        <v>20655.088930845424</v>
      </c>
      <c r="I307" s="338">
        <f t="shared" ref="I307:P307" si="180">I303*1000000/AVERAGE(H21,I21)/12</f>
        <v>17651.416464258495</v>
      </c>
      <c r="J307" s="338">
        <f t="shared" si="180"/>
        <v>18454.307189646952</v>
      </c>
      <c r="K307" s="338">
        <f t="shared" si="180"/>
        <v>19471.001318480292</v>
      </c>
      <c r="L307" s="338">
        <f t="shared" si="180"/>
        <v>20576.550445400342</v>
      </c>
      <c r="M307" s="338">
        <f t="shared" si="180"/>
        <v>21765.182230164934</v>
      </c>
      <c r="N307" s="338">
        <f t="shared" si="180"/>
        <v>22911.783187675013</v>
      </c>
      <c r="O307" s="338">
        <f t="shared" si="180"/>
        <v>24116.216714545404</v>
      </c>
      <c r="P307" s="338">
        <f t="shared" si="180"/>
        <v>25381.22334299027</v>
      </c>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row>
    <row r="308" spans="1:42" ht="15.75" x14ac:dyDescent="0.3">
      <c r="A308" s="233"/>
      <c r="B308" s="6"/>
      <c r="C308" s="6"/>
      <c r="D308" s="6"/>
      <c r="E308" s="6"/>
      <c r="F308" s="6"/>
      <c r="G308" s="6"/>
      <c r="H308" s="339"/>
      <c r="I308" s="339"/>
      <c r="J308" s="339"/>
      <c r="K308" s="339"/>
      <c r="L308" s="339"/>
      <c r="M308" s="339"/>
      <c r="N308" s="339"/>
      <c r="O308" s="339"/>
      <c r="P308" s="339"/>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row>
    <row r="309" spans="1:42" ht="15.75" x14ac:dyDescent="0.3">
      <c r="A309" s="20" t="s">
        <v>41</v>
      </c>
      <c r="B309" s="20"/>
      <c r="C309" s="20"/>
      <c r="D309" s="20"/>
      <c r="E309" s="20"/>
      <c r="F309" s="20"/>
      <c r="G309" s="389">
        <v>4389</v>
      </c>
      <c r="H309" s="389">
        <v>3813</v>
      </c>
      <c r="I309" s="34">
        <f>I297-I291</f>
        <v>4698.7748484436033</v>
      </c>
      <c r="J309" s="34">
        <f t="shared" ref="J309:P309" si="181">J297-J291</f>
        <v>5513.7051379557433</v>
      </c>
      <c r="K309" s="34">
        <f t="shared" si="181"/>
        <v>7410.4282694714493</v>
      </c>
      <c r="L309" s="34">
        <f t="shared" si="181"/>
        <v>9356.8043898269243</v>
      </c>
      <c r="M309" s="34">
        <f t="shared" si="181"/>
        <v>11334.304941019034</v>
      </c>
      <c r="N309" s="34">
        <f t="shared" si="181"/>
        <v>13288.850463311581</v>
      </c>
      <c r="O309" s="34">
        <f t="shared" si="181"/>
        <v>15278.504025532846</v>
      </c>
      <c r="P309" s="34">
        <f t="shared" si="181"/>
        <v>17315.488219146278</v>
      </c>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row>
    <row r="310" spans="1:42" ht="15.75" x14ac:dyDescent="0.3">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row>
    <row r="311" spans="1:42" ht="15.75" x14ac:dyDescent="0.3">
      <c r="A311" s="6" t="s">
        <v>36</v>
      </c>
      <c r="B311" s="6"/>
      <c r="C311" s="6"/>
      <c r="D311" s="6"/>
      <c r="E311" s="6"/>
      <c r="F311" s="6"/>
      <c r="G311" s="332">
        <v>-4657</v>
      </c>
      <c r="H311" s="333">
        <v>-3061</v>
      </c>
      <c r="I311" s="340">
        <v>-4300</v>
      </c>
      <c r="J311" s="26">
        <f t="shared" ref="J311:P311" ca="1" si="182">J312*AVERAGE(I340:J340)</f>
        <v>-4215.664265502237</v>
      </c>
      <c r="K311" s="26">
        <f t="shared" ca="1" si="182"/>
        <v>-4141.2299658474876</v>
      </c>
      <c r="L311" s="26">
        <f t="shared" ca="1" si="182"/>
        <v>-3996.3868381930924</v>
      </c>
      <c r="M311" s="26">
        <f t="shared" ca="1" si="182"/>
        <v>-3822.5771308512612</v>
      </c>
      <c r="N311" s="26">
        <f t="shared" ca="1" si="182"/>
        <v>-3616.2590496412035</v>
      </c>
      <c r="O311" s="26">
        <f t="shared" ca="1" si="182"/>
        <v>-3372.4176636314228</v>
      </c>
      <c r="P311" s="26">
        <f t="shared" ca="1" si="182"/>
        <v>-3084.409243421188</v>
      </c>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row>
    <row r="312" spans="1:42" ht="15.75" x14ac:dyDescent="0.3">
      <c r="A312" s="248" t="s">
        <v>73</v>
      </c>
      <c r="B312" s="6"/>
      <c r="C312" s="6"/>
      <c r="D312" s="6"/>
      <c r="E312" s="6"/>
      <c r="F312" s="6"/>
      <c r="G312" s="15">
        <f>G311/AVERAGE(F340:G340)</f>
        <v>-9.8037977348322175E-2</v>
      </c>
      <c r="H312" s="15">
        <f>H311/AVERAGE(G340:H340)</f>
        <v>-6.6635548308247305E-2</v>
      </c>
      <c r="I312" s="371">
        <f>(-4300)/AVERAGE(H340:I340)</f>
        <v>-8.8498388831891178E-2</v>
      </c>
      <c r="J312" s="281">
        <v>-0.08</v>
      </c>
      <c r="K312" s="15">
        <f t="shared" ref="K312:P312" si="183">J312</f>
        <v>-0.08</v>
      </c>
      <c r="L312" s="15">
        <f t="shared" si="183"/>
        <v>-0.08</v>
      </c>
      <c r="M312" s="15">
        <f t="shared" si="183"/>
        <v>-0.08</v>
      </c>
      <c r="N312" s="15">
        <f t="shared" si="183"/>
        <v>-0.08</v>
      </c>
      <c r="O312" s="15">
        <f t="shared" si="183"/>
        <v>-0.08</v>
      </c>
      <c r="P312" s="15">
        <f t="shared" si="183"/>
        <v>-0.08</v>
      </c>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row>
    <row r="313" spans="1:42" ht="15.75" x14ac:dyDescent="0.3">
      <c r="A313" s="249" t="s">
        <v>543</v>
      </c>
      <c r="B313" s="6"/>
      <c r="C313" s="6"/>
      <c r="D313" s="6"/>
      <c r="E313" s="6"/>
      <c r="F313" s="6"/>
      <c r="G313" s="26">
        <f>G311-G314</f>
        <v>-1806.88</v>
      </c>
      <c r="H313" s="26">
        <f>H311-H314</f>
        <v>-304.81348000000025</v>
      </c>
      <c r="I313" s="26">
        <f t="shared" ref="I313:P313" si="184">I311-I314</f>
        <v>-1384.6926886986739</v>
      </c>
      <c r="J313" s="26">
        <f t="shared" ca="1" si="184"/>
        <v>-1053.9160663755592</v>
      </c>
      <c r="K313" s="26">
        <f t="shared" ca="1" si="184"/>
        <v>-1035.3074914618724</v>
      </c>
      <c r="L313" s="26">
        <f t="shared" ca="1" si="184"/>
        <v>-999.09670954827334</v>
      </c>
      <c r="M313" s="26">
        <f t="shared" ca="1" si="184"/>
        <v>-955.64428271281531</v>
      </c>
      <c r="N313" s="26">
        <f t="shared" ca="1" si="184"/>
        <v>-904.06476241030077</v>
      </c>
      <c r="O313" s="26">
        <f t="shared" ca="1" si="184"/>
        <v>-843.10441590785558</v>
      </c>
      <c r="P313" s="26">
        <f t="shared" ca="1" si="184"/>
        <v>-771.10231085529722</v>
      </c>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row>
    <row r="314" spans="1:42" ht="15.75" x14ac:dyDescent="0.3">
      <c r="A314" s="249" t="s">
        <v>544</v>
      </c>
      <c r="B314" s="6"/>
      <c r="C314" s="6"/>
      <c r="D314" s="6"/>
      <c r="E314" s="6"/>
      <c r="F314" s="6"/>
      <c r="G314" s="26">
        <f>G315*AVERAGE(F340,G340)</f>
        <v>-2850.12</v>
      </c>
      <c r="H314" s="26">
        <f>H315*AVERAGE(G340,H340)</f>
        <v>-2756.1865199999997</v>
      </c>
      <c r="I314" s="26">
        <f t="shared" ref="I314:P314" si="185">I315*AVERAGE(H340,I340)</f>
        <v>-2915.3073113013261</v>
      </c>
      <c r="J314" s="26">
        <f t="shared" ca="1" si="185"/>
        <v>-3161.7481991266777</v>
      </c>
      <c r="K314" s="26">
        <f t="shared" ca="1" si="185"/>
        <v>-3105.9224743856153</v>
      </c>
      <c r="L314" s="26">
        <f t="shared" ca="1" si="185"/>
        <v>-2997.2901286448191</v>
      </c>
      <c r="M314" s="26">
        <f t="shared" ca="1" si="185"/>
        <v>-2866.9328481384459</v>
      </c>
      <c r="N314" s="26">
        <f t="shared" ca="1" si="185"/>
        <v>-2712.1942872309028</v>
      </c>
      <c r="O314" s="26">
        <f t="shared" ca="1" si="185"/>
        <v>-2529.3132477235672</v>
      </c>
      <c r="P314" s="26">
        <f t="shared" ca="1" si="185"/>
        <v>-2313.3069325658907</v>
      </c>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row>
    <row r="315" spans="1:42" ht="15.75" x14ac:dyDescent="0.3">
      <c r="A315" s="249" t="s">
        <v>545</v>
      </c>
      <c r="B315" s="6"/>
      <c r="C315" s="6"/>
      <c r="D315" s="6"/>
      <c r="E315" s="6"/>
      <c r="F315" s="6"/>
      <c r="G315" s="330">
        <v>-0.06</v>
      </c>
      <c r="H315" s="330">
        <v>-0.06</v>
      </c>
      <c r="I315" s="330">
        <v>-0.06</v>
      </c>
      <c r="J315" s="330">
        <v>-0.06</v>
      </c>
      <c r="K315" s="330">
        <v>-0.06</v>
      </c>
      <c r="L315" s="330">
        <v>-0.06</v>
      </c>
      <c r="M315" s="330">
        <v>-0.06</v>
      </c>
      <c r="N315" s="330">
        <v>-0.06</v>
      </c>
      <c r="O315" s="330">
        <v>-0.06</v>
      </c>
      <c r="P315" s="330">
        <v>-0.06</v>
      </c>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row>
    <row r="316" spans="1:42" ht="15.75" x14ac:dyDescent="0.3">
      <c r="A316" s="248"/>
      <c r="B316" s="6"/>
      <c r="C316" s="6"/>
      <c r="D316" s="6"/>
      <c r="E316" s="6"/>
      <c r="F316" s="6"/>
      <c r="G316" s="6"/>
      <c r="H316" s="330"/>
      <c r="I316" s="15"/>
      <c r="J316" s="15"/>
      <c r="K316" s="15"/>
      <c r="L316" s="15"/>
      <c r="M316" s="15"/>
      <c r="N316" s="15"/>
      <c r="O316" s="15"/>
      <c r="P316" s="15"/>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row>
    <row r="317" spans="1:42" ht="15.75" x14ac:dyDescent="0.3">
      <c r="A317" s="248" t="s">
        <v>566</v>
      </c>
      <c r="B317" s="6"/>
      <c r="C317" s="6"/>
      <c r="D317" s="6"/>
      <c r="E317" s="6"/>
      <c r="F317" s="6"/>
      <c r="G317" s="6"/>
      <c r="H317" s="330"/>
      <c r="I317" s="335">
        <v>-1100</v>
      </c>
      <c r="J317" s="335">
        <v>0</v>
      </c>
      <c r="K317" s="271">
        <f t="shared" ref="K317" si="186">J317</f>
        <v>0</v>
      </c>
      <c r="L317" s="271">
        <f t="shared" ref="L317" si="187">K317</f>
        <v>0</v>
      </c>
      <c r="M317" s="271">
        <f t="shared" ref="M317" si="188">L317</f>
        <v>0</v>
      </c>
      <c r="N317" s="271">
        <f t="shared" ref="N317" si="189">M317</f>
        <v>0</v>
      </c>
      <c r="O317" s="271">
        <f t="shared" ref="O317" si="190">N317</f>
        <v>0</v>
      </c>
      <c r="P317" s="271">
        <f t="shared" ref="P317" si="191">O317</f>
        <v>0</v>
      </c>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row>
    <row r="318" spans="1:42" ht="15.75" x14ac:dyDescent="0.3">
      <c r="A318" s="248"/>
      <c r="B318" s="6"/>
      <c r="C318" s="6"/>
      <c r="D318" s="6"/>
      <c r="E318" s="6"/>
      <c r="F318" s="6"/>
      <c r="G318" s="6"/>
      <c r="H318" s="330"/>
      <c r="I318" s="15"/>
      <c r="J318" s="15"/>
      <c r="K318" s="15"/>
      <c r="L318" s="15"/>
      <c r="M318" s="15"/>
      <c r="N318" s="15"/>
      <c r="O318" s="15"/>
      <c r="P318" s="15"/>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row>
    <row r="319" spans="1:42" ht="15.75" x14ac:dyDescent="0.3">
      <c r="A319" s="248" t="s">
        <v>567</v>
      </c>
      <c r="B319" s="6"/>
      <c r="C319" s="6"/>
      <c r="D319" s="6"/>
      <c r="E319" s="6"/>
      <c r="F319" s="6"/>
      <c r="G319" s="6"/>
      <c r="H319" s="330"/>
      <c r="I319" s="335">
        <v>260</v>
      </c>
      <c r="J319" s="335">
        <v>0</v>
      </c>
      <c r="K319" s="271">
        <f t="shared" ref="K319" si="192">J319</f>
        <v>0</v>
      </c>
      <c r="L319" s="271">
        <f t="shared" ref="L319" si="193">K319</f>
        <v>0</v>
      </c>
      <c r="M319" s="271">
        <f t="shared" ref="M319" si="194">L319</f>
        <v>0</v>
      </c>
      <c r="N319" s="271">
        <f t="shared" ref="N319" si="195">M319</f>
        <v>0</v>
      </c>
      <c r="O319" s="271">
        <f t="shared" ref="O319" si="196">N319</f>
        <v>0</v>
      </c>
      <c r="P319" s="271">
        <f t="shared" ref="P319" si="197">O319</f>
        <v>0</v>
      </c>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row>
    <row r="320" spans="1:42" ht="15.75" x14ac:dyDescent="0.3">
      <c r="A320" s="248"/>
      <c r="B320" s="6"/>
      <c r="C320" s="6"/>
      <c r="D320" s="6"/>
      <c r="E320" s="6"/>
      <c r="F320" s="6"/>
      <c r="G320" s="6"/>
      <c r="H320" s="330"/>
      <c r="I320" s="15"/>
      <c r="J320" s="15"/>
      <c r="K320" s="15"/>
      <c r="L320" s="15"/>
      <c r="M320" s="15"/>
      <c r="N320" s="15"/>
      <c r="O320" s="15"/>
      <c r="P320" s="15"/>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row>
    <row r="321" spans="1:42" ht="15.75" x14ac:dyDescent="0.3">
      <c r="A321" s="248" t="s">
        <v>244</v>
      </c>
      <c r="B321" s="6"/>
      <c r="C321" s="6"/>
      <c r="D321" s="6"/>
      <c r="E321" s="6"/>
      <c r="F321" s="6"/>
      <c r="G321" s="329">
        <v>-862</v>
      </c>
      <c r="H321" s="329">
        <v>-1127</v>
      </c>
      <c r="I321" s="335">
        <v>800</v>
      </c>
      <c r="J321" s="335">
        <v>0</v>
      </c>
      <c r="K321" s="271">
        <f t="shared" ref="K321:P323" si="198">J321</f>
        <v>0</v>
      </c>
      <c r="L321" s="271">
        <f t="shared" si="198"/>
        <v>0</v>
      </c>
      <c r="M321" s="271">
        <f t="shared" si="198"/>
        <v>0</v>
      </c>
      <c r="N321" s="271">
        <f t="shared" si="198"/>
        <v>0</v>
      </c>
      <c r="O321" s="271">
        <f t="shared" si="198"/>
        <v>0</v>
      </c>
      <c r="P321" s="271">
        <f t="shared" si="198"/>
        <v>0</v>
      </c>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row>
    <row r="322" spans="1:42" ht="15.75" x14ac:dyDescent="0.3">
      <c r="A322" s="248"/>
      <c r="B322" s="6"/>
      <c r="C322" s="6"/>
      <c r="D322" s="6"/>
      <c r="E322" s="6"/>
      <c r="F322" s="6"/>
      <c r="G322" s="6"/>
      <c r="H322" s="330"/>
      <c r="I322" s="15"/>
      <c r="J322" s="15"/>
      <c r="K322" s="15"/>
      <c r="L322" s="15"/>
      <c r="M322" s="15"/>
      <c r="N322" s="15"/>
      <c r="O322" s="15"/>
      <c r="P322" s="15"/>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row>
    <row r="323" spans="1:42" ht="15.75" x14ac:dyDescent="0.3">
      <c r="A323" s="248" t="s">
        <v>243</v>
      </c>
      <c r="B323" s="6"/>
      <c r="C323" s="6"/>
      <c r="D323" s="6"/>
      <c r="E323" s="6"/>
      <c r="F323" s="6"/>
      <c r="G323" s="329">
        <v>-487</v>
      </c>
      <c r="H323" s="329">
        <v>1299</v>
      </c>
      <c r="I323" s="335">
        <v>-190</v>
      </c>
      <c r="J323" s="335">
        <v>0</v>
      </c>
      <c r="K323" s="271">
        <f t="shared" si="198"/>
        <v>0</v>
      </c>
      <c r="L323" s="271">
        <f t="shared" si="198"/>
        <v>0</v>
      </c>
      <c r="M323" s="271">
        <f t="shared" si="198"/>
        <v>0</v>
      </c>
      <c r="N323" s="271">
        <f t="shared" si="198"/>
        <v>0</v>
      </c>
      <c r="O323" s="271">
        <f t="shared" si="198"/>
        <v>0</v>
      </c>
      <c r="P323" s="271">
        <f t="shared" si="198"/>
        <v>0</v>
      </c>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row>
    <row r="324" spans="1:42" ht="15.75" x14ac:dyDescent="0.3">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row>
    <row r="325" spans="1:42" ht="15.75" x14ac:dyDescent="0.3">
      <c r="A325" s="20" t="s">
        <v>44</v>
      </c>
      <c r="B325" s="20"/>
      <c r="C325" s="20"/>
      <c r="D325" s="20"/>
      <c r="E325" s="20"/>
      <c r="F325" s="20"/>
      <c r="G325" s="34">
        <f>G309+G311+G321+G323</f>
        <v>-1617</v>
      </c>
      <c r="H325" s="34">
        <f>H309+H311+H321+H323</f>
        <v>924</v>
      </c>
      <c r="I325" s="34">
        <f>I309+I311+I317+I319+I321+I323</f>
        <v>168.77484844360333</v>
      </c>
      <c r="J325" s="34">
        <f t="shared" ref="J325:P325" ca="1" si="199">J309+J311+J317+J319+J321+J323</f>
        <v>1298.0408724535064</v>
      </c>
      <c r="K325" s="34">
        <f t="shared" ca="1" si="199"/>
        <v>3269.1983036239617</v>
      </c>
      <c r="L325" s="34">
        <f t="shared" ca="1" si="199"/>
        <v>5360.4175516338319</v>
      </c>
      <c r="M325" s="34">
        <f t="shared" ca="1" si="199"/>
        <v>7511.727810167773</v>
      </c>
      <c r="N325" s="34">
        <f t="shared" ca="1" si="199"/>
        <v>9672.5914136703777</v>
      </c>
      <c r="O325" s="34">
        <f t="shared" ca="1" si="199"/>
        <v>11906.086361901424</v>
      </c>
      <c r="P325" s="34">
        <f t="shared" ca="1" si="199"/>
        <v>14231.07897572509</v>
      </c>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row>
    <row r="326" spans="1:42" ht="15.75" x14ac:dyDescent="0.3">
      <c r="A326" s="6"/>
      <c r="B326" s="6"/>
      <c r="C326" s="6"/>
      <c r="D326" s="6"/>
      <c r="E326" s="6"/>
      <c r="F326" s="6"/>
      <c r="G326" s="6"/>
      <c r="H326" s="12"/>
      <c r="I326" s="12"/>
      <c r="J326" s="12"/>
      <c r="K326" s="12"/>
      <c r="L326" s="12"/>
      <c r="M326" s="12"/>
      <c r="N326" s="12"/>
      <c r="O326" s="12"/>
      <c r="P326" s="12"/>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row>
    <row r="327" spans="1:42" ht="15.75" x14ac:dyDescent="0.3">
      <c r="A327" s="248" t="s">
        <v>46</v>
      </c>
      <c r="B327" s="6"/>
      <c r="C327" s="6"/>
      <c r="D327" s="6"/>
      <c r="E327" s="6"/>
      <c r="F327" s="6"/>
      <c r="G327" s="333">
        <v>517</v>
      </c>
      <c r="H327" s="333">
        <v>-1145</v>
      </c>
      <c r="I327" s="401">
        <v>-2300</v>
      </c>
      <c r="J327" s="26">
        <f t="shared" ref="J327:P327" ca="1" si="200">J328*J325</f>
        <v>-389.4122617360519</v>
      </c>
      <c r="K327" s="26">
        <f t="shared" ca="1" si="200"/>
        <v>-980.75949108718851</v>
      </c>
      <c r="L327" s="26">
        <f t="shared" ca="1" si="200"/>
        <v>-1608.1252654901496</v>
      </c>
      <c r="M327" s="26">
        <f t="shared" ca="1" si="200"/>
        <v>-2253.5183430503316</v>
      </c>
      <c r="N327" s="26">
        <f t="shared" ca="1" si="200"/>
        <v>-2901.7774241011134</v>
      </c>
      <c r="O327" s="26">
        <f t="shared" ca="1" si="200"/>
        <v>-3571.8259085704271</v>
      </c>
      <c r="P327" s="26">
        <f t="shared" ca="1" si="200"/>
        <v>-4269.3236927175267</v>
      </c>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row>
    <row r="328" spans="1:42" ht="15.75" x14ac:dyDescent="0.3">
      <c r="A328" s="248" t="s">
        <v>45</v>
      </c>
      <c r="B328" s="6"/>
      <c r="C328" s="6"/>
      <c r="D328" s="6"/>
      <c r="E328" s="6"/>
      <c r="F328" s="6"/>
      <c r="G328" s="15">
        <f>G327/G325</f>
        <v>-0.31972789115646261</v>
      </c>
      <c r="H328" s="15">
        <f>H327/H325</f>
        <v>-1.2391774891774892</v>
      </c>
      <c r="I328" s="15">
        <f>I327/I325</f>
        <v>-13.627622961655643</v>
      </c>
      <c r="J328" s="339">
        <v>-0.3</v>
      </c>
      <c r="K328" s="307">
        <f t="shared" ref="K328:P328" si="201">J328</f>
        <v>-0.3</v>
      </c>
      <c r="L328" s="307">
        <f t="shared" si="201"/>
        <v>-0.3</v>
      </c>
      <c r="M328" s="307">
        <f t="shared" si="201"/>
        <v>-0.3</v>
      </c>
      <c r="N328" s="307">
        <f t="shared" si="201"/>
        <v>-0.3</v>
      </c>
      <c r="O328" s="307">
        <f t="shared" si="201"/>
        <v>-0.3</v>
      </c>
      <c r="P328" s="307">
        <f t="shared" si="201"/>
        <v>-0.3</v>
      </c>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row>
    <row r="329" spans="1:42" ht="15.75" x14ac:dyDescent="0.3">
      <c r="A329" s="248"/>
      <c r="B329" s="6"/>
      <c r="C329" s="6"/>
      <c r="D329" s="6"/>
      <c r="E329" s="6"/>
      <c r="F329" s="6"/>
      <c r="G329" s="6"/>
      <c r="H329" s="26"/>
      <c r="I329" s="26"/>
      <c r="J329" s="26"/>
      <c r="K329" s="26"/>
      <c r="L329" s="26"/>
      <c r="M329" s="26"/>
      <c r="N329" s="26"/>
      <c r="O329" s="26"/>
      <c r="P329" s="2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row>
    <row r="330" spans="1:42" ht="15.75" x14ac:dyDescent="0.3">
      <c r="A330" s="248" t="s">
        <v>568</v>
      </c>
      <c r="B330" s="6"/>
      <c r="C330" s="6"/>
      <c r="D330" s="6"/>
      <c r="E330" s="6"/>
      <c r="F330" s="6"/>
      <c r="G330" s="6"/>
      <c r="H330" s="26"/>
      <c r="I330" s="335">
        <v>950</v>
      </c>
      <c r="J330" s="335">
        <v>0</v>
      </c>
      <c r="K330" s="271">
        <f t="shared" ref="K330" si="202">J330</f>
        <v>0</v>
      </c>
      <c r="L330" s="271">
        <f t="shared" ref="L330" si="203">K330</f>
        <v>0</v>
      </c>
      <c r="M330" s="271">
        <f t="shared" ref="M330" si="204">L330</f>
        <v>0</v>
      </c>
      <c r="N330" s="271">
        <f t="shared" ref="N330" si="205">M330</f>
        <v>0</v>
      </c>
      <c r="O330" s="271">
        <f t="shared" ref="O330" si="206">N330</f>
        <v>0</v>
      </c>
      <c r="P330" s="271">
        <f t="shared" ref="P330" si="207">O330</f>
        <v>0</v>
      </c>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row>
    <row r="331" spans="1:42" ht="15.75" x14ac:dyDescent="0.3">
      <c r="A331" s="248"/>
      <c r="B331" s="6"/>
      <c r="C331" s="6"/>
      <c r="D331" s="6"/>
      <c r="E331" s="6"/>
      <c r="F331" s="6"/>
      <c r="G331" s="6"/>
      <c r="H331" s="26"/>
      <c r="I331" s="26"/>
      <c r="J331" s="26"/>
      <c r="K331" s="26"/>
      <c r="L331" s="26"/>
      <c r="M331" s="26"/>
      <c r="N331" s="26"/>
      <c r="O331" s="26"/>
      <c r="P331" s="2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row>
    <row r="332" spans="1:42" ht="15.75" x14ac:dyDescent="0.3">
      <c r="A332" s="248" t="s">
        <v>722</v>
      </c>
      <c r="B332" s="6"/>
      <c r="C332" s="6"/>
      <c r="D332" s="6"/>
      <c r="E332" s="6"/>
      <c r="F332" s="6"/>
      <c r="G332" s="6"/>
      <c r="H332" s="26"/>
      <c r="I332" s="335">
        <v>100</v>
      </c>
      <c r="J332" s="335">
        <v>0</v>
      </c>
      <c r="K332" s="271">
        <f t="shared" ref="K332" si="208">J332</f>
        <v>0</v>
      </c>
      <c r="L332" s="271">
        <f t="shared" ref="L332" si="209">K332</f>
        <v>0</v>
      </c>
      <c r="M332" s="271">
        <f t="shared" ref="M332" si="210">L332</f>
        <v>0</v>
      </c>
      <c r="N332" s="271">
        <f t="shared" ref="N332" si="211">M332</f>
        <v>0</v>
      </c>
      <c r="O332" s="271">
        <f t="shared" ref="O332" si="212">N332</f>
        <v>0</v>
      </c>
      <c r="P332" s="271">
        <f t="shared" ref="P332" si="213">O332</f>
        <v>0</v>
      </c>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row>
    <row r="333" spans="1:42" ht="15.75" x14ac:dyDescent="0.3">
      <c r="A333" s="248"/>
      <c r="B333" s="6"/>
      <c r="C333" s="6"/>
      <c r="D333" s="6"/>
      <c r="E333" s="6"/>
      <c r="F333" s="6"/>
      <c r="G333" s="6"/>
      <c r="H333" s="26"/>
      <c r="I333" s="26"/>
      <c r="J333" s="26"/>
      <c r="K333" s="26"/>
      <c r="L333" s="26"/>
      <c r="M333" s="26"/>
      <c r="N333" s="26"/>
      <c r="O333" s="26"/>
      <c r="P333" s="2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row>
    <row r="334" spans="1:42" ht="15.75" x14ac:dyDescent="0.3">
      <c r="A334" s="254" t="s">
        <v>47</v>
      </c>
      <c r="B334" s="20"/>
      <c r="C334" s="20"/>
      <c r="D334" s="20"/>
      <c r="E334" s="20"/>
      <c r="F334" s="20"/>
      <c r="G334" s="34">
        <f t="shared" ref="G334:H334" si="214">G327+G325</f>
        <v>-1100</v>
      </c>
      <c r="H334" s="34">
        <f t="shared" si="214"/>
        <v>-221</v>
      </c>
      <c r="I334" s="34">
        <f>I327+I325+I330+I332</f>
        <v>-1081.2251515563967</v>
      </c>
      <c r="J334" s="34">
        <f t="shared" ref="J334:P334" ca="1" si="215">J327+J325+J330+J332</f>
        <v>908.62861071745442</v>
      </c>
      <c r="K334" s="34">
        <f t="shared" ca="1" si="215"/>
        <v>2288.4388125367732</v>
      </c>
      <c r="L334" s="34">
        <f t="shared" ca="1" si="215"/>
        <v>3752.2922861436823</v>
      </c>
      <c r="M334" s="34">
        <f t="shared" ca="1" si="215"/>
        <v>5258.2094671174418</v>
      </c>
      <c r="N334" s="34">
        <f t="shared" ca="1" si="215"/>
        <v>6770.8139895692639</v>
      </c>
      <c r="O334" s="34">
        <f t="shared" ca="1" si="215"/>
        <v>8334.2604533309968</v>
      </c>
      <c r="P334" s="34">
        <f t="shared" ca="1" si="215"/>
        <v>9961.755283007562</v>
      </c>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row>
    <row r="335" spans="1:42" ht="15.75" x14ac:dyDescent="0.3">
      <c r="A335" s="248"/>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row>
    <row r="336" spans="1:42" ht="15.75" x14ac:dyDescent="0.3">
      <c r="A336" s="6" t="s">
        <v>48</v>
      </c>
      <c r="B336" s="6"/>
      <c r="C336" s="6"/>
      <c r="D336" s="6"/>
      <c r="E336" s="6"/>
      <c r="F336" s="6"/>
      <c r="G336" s="340">
        <f>G334*0.44*0.13</f>
        <v>-62.92</v>
      </c>
      <c r="H336" s="340">
        <f t="shared" ref="H336:P336" si="216">H334*0.44*0.13</f>
        <v>-12.6412</v>
      </c>
      <c r="I336" s="340">
        <v>-240</v>
      </c>
      <c r="J336" s="340">
        <f t="shared" ca="1" si="216"/>
        <v>51.973556533038398</v>
      </c>
      <c r="K336" s="340">
        <f t="shared" ca="1" si="216"/>
        <v>130.89870007710343</v>
      </c>
      <c r="L336" s="340">
        <f t="shared" ca="1" si="216"/>
        <v>214.63111876741866</v>
      </c>
      <c r="M336" s="340">
        <f t="shared" ca="1" si="216"/>
        <v>300.76958151911765</v>
      </c>
      <c r="N336" s="340">
        <f t="shared" ca="1" si="216"/>
        <v>387.29056020336191</v>
      </c>
      <c r="O336" s="340">
        <f t="shared" ca="1" si="216"/>
        <v>476.71969793053302</v>
      </c>
      <c r="P336" s="340">
        <f t="shared" ca="1" si="216"/>
        <v>569.81240218803248</v>
      </c>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row>
    <row r="337" spans="1:42" ht="15.75" x14ac:dyDescent="0.3">
      <c r="A337" s="6" t="s">
        <v>49</v>
      </c>
      <c r="B337" s="6"/>
      <c r="C337" s="6"/>
      <c r="D337" s="6"/>
      <c r="E337" s="6"/>
      <c r="F337" s="6"/>
      <c r="G337" s="12">
        <f>G334-G336</f>
        <v>-1037.08</v>
      </c>
      <c r="H337" s="12">
        <f t="shared" ref="H337:P337" si="217">H334-H336</f>
        <v>-208.3588</v>
      </c>
      <c r="I337" s="12">
        <f t="shared" si="217"/>
        <v>-841.22515155639667</v>
      </c>
      <c r="J337" s="12">
        <f t="shared" ca="1" si="217"/>
        <v>856.65505418441603</v>
      </c>
      <c r="K337" s="12">
        <f t="shared" ca="1" si="217"/>
        <v>2157.5401124596697</v>
      </c>
      <c r="L337" s="12">
        <f t="shared" ca="1" si="217"/>
        <v>3537.6611673762636</v>
      </c>
      <c r="M337" s="12">
        <f t="shared" ca="1" si="217"/>
        <v>4957.4398855983245</v>
      </c>
      <c r="N337" s="12">
        <f t="shared" ca="1" si="217"/>
        <v>6383.5234293659023</v>
      </c>
      <c r="O337" s="12">
        <f t="shared" ca="1" si="217"/>
        <v>7857.5407554004641</v>
      </c>
      <c r="P337" s="12">
        <f t="shared" ca="1" si="217"/>
        <v>9391.9428808195298</v>
      </c>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row>
    <row r="338" spans="1:42" ht="15.75" x14ac:dyDescent="0.3">
      <c r="A338" s="6" t="s">
        <v>515</v>
      </c>
      <c r="B338" s="6"/>
      <c r="C338" s="6"/>
      <c r="D338" s="6"/>
      <c r="E338" s="6"/>
      <c r="F338" s="6"/>
      <c r="G338" s="12">
        <f>G337-G321-G323</f>
        <v>311.92000000000007</v>
      </c>
      <c r="H338" s="12">
        <f t="shared" ref="H338:P338" si="218">H337-H321-H323</f>
        <v>-380.35879999999997</v>
      </c>
      <c r="I338" s="12">
        <f t="shared" si="218"/>
        <v>-1451.2251515563967</v>
      </c>
      <c r="J338" s="12">
        <f t="shared" ca="1" si="218"/>
        <v>856.65505418441603</v>
      </c>
      <c r="K338" s="12">
        <f t="shared" ca="1" si="218"/>
        <v>2157.5401124596697</v>
      </c>
      <c r="L338" s="12">
        <f t="shared" ca="1" si="218"/>
        <v>3537.6611673762636</v>
      </c>
      <c r="M338" s="12">
        <f t="shared" ca="1" si="218"/>
        <v>4957.4398855983245</v>
      </c>
      <c r="N338" s="12">
        <f t="shared" ca="1" si="218"/>
        <v>6383.5234293659023</v>
      </c>
      <c r="O338" s="12">
        <f t="shared" ca="1" si="218"/>
        <v>7857.5407554004641</v>
      </c>
      <c r="P338" s="12">
        <f t="shared" ca="1" si="218"/>
        <v>9391.9428808195298</v>
      </c>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row>
    <row r="339" spans="1:42" ht="15.75" x14ac:dyDescent="0.3">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row>
    <row r="340" spans="1:42" ht="15.75" x14ac:dyDescent="0.3">
      <c r="A340" s="6" t="s">
        <v>521</v>
      </c>
      <c r="B340" s="6"/>
      <c r="C340" s="6"/>
      <c r="D340" s="6"/>
      <c r="E340" s="6"/>
      <c r="F340" s="6"/>
      <c r="G340" s="12">
        <f>G341-G342</f>
        <v>47502</v>
      </c>
      <c r="H340" s="12">
        <f t="shared" ref="H340:P340" si="219">H341-H342</f>
        <v>44370.883999999998</v>
      </c>
      <c r="I340" s="12">
        <f t="shared" si="219"/>
        <v>52806.02637671087</v>
      </c>
      <c r="J340" s="12">
        <f t="shared" ca="1" si="219"/>
        <v>52585.580260845061</v>
      </c>
      <c r="K340" s="12">
        <f t="shared" ca="1" si="219"/>
        <v>50945.168885342129</v>
      </c>
      <c r="L340" s="12">
        <f t="shared" ca="1" si="219"/>
        <v>48964.50206948517</v>
      </c>
      <c r="M340" s="12">
        <f t="shared" ca="1" si="219"/>
        <v>46599.92620179637</v>
      </c>
      <c r="N340" s="12">
        <f t="shared" ca="1" si="219"/>
        <v>43806.550039233727</v>
      </c>
      <c r="O340" s="12">
        <f t="shared" ca="1" si="219"/>
        <v>40503.891551551838</v>
      </c>
      <c r="P340" s="12">
        <f t="shared" ca="1" si="219"/>
        <v>36606.339533977865</v>
      </c>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row>
    <row r="341" spans="1:42" ht="15.75" x14ac:dyDescent="0.3">
      <c r="A341" s="6" t="s">
        <v>72</v>
      </c>
      <c r="B341" s="6"/>
      <c r="C341" s="6"/>
      <c r="D341" s="6"/>
      <c r="E341" s="6"/>
      <c r="F341" s="6"/>
      <c r="G341" s="12">
        <f>G376+G381</f>
        <v>59712</v>
      </c>
      <c r="H341" s="12">
        <f t="shared" ref="H341:P341" si="220">H376+H381</f>
        <v>50308.883999999998</v>
      </c>
      <c r="I341" s="12">
        <f t="shared" si="220"/>
        <v>55338.883999999998</v>
      </c>
      <c r="J341" s="12">
        <f t="shared" si="220"/>
        <v>55338.883999999998</v>
      </c>
      <c r="K341" s="12">
        <f t="shared" si="220"/>
        <v>55338.883999999998</v>
      </c>
      <c r="L341" s="12">
        <f t="shared" si="220"/>
        <v>55338.883999999998</v>
      </c>
      <c r="M341" s="12">
        <f t="shared" si="220"/>
        <v>55338.883999999998</v>
      </c>
      <c r="N341" s="12">
        <f t="shared" si="220"/>
        <v>55338.883999999998</v>
      </c>
      <c r="O341" s="12">
        <f t="shared" si="220"/>
        <v>55338.883999999998</v>
      </c>
      <c r="P341" s="12">
        <f t="shared" si="220"/>
        <v>55338.883999999998</v>
      </c>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row>
    <row r="342" spans="1:42" ht="15.75" x14ac:dyDescent="0.3">
      <c r="A342" s="6" t="s">
        <v>51</v>
      </c>
      <c r="B342" s="6"/>
      <c r="C342" s="6"/>
      <c r="D342" s="6"/>
      <c r="E342" s="6"/>
      <c r="F342" s="6"/>
      <c r="G342" s="12">
        <f>G365</f>
        <v>12210</v>
      </c>
      <c r="H342" s="12">
        <f t="shared" ref="H342:P342" si="221">H365</f>
        <v>5938</v>
      </c>
      <c r="I342" s="12">
        <f t="shared" si="221"/>
        <v>2532.8576232891301</v>
      </c>
      <c r="J342" s="12">
        <f t="shared" ca="1" si="221"/>
        <v>2753.3037391549342</v>
      </c>
      <c r="K342" s="12">
        <f t="shared" ca="1" si="221"/>
        <v>4393.7151146578708</v>
      </c>
      <c r="L342" s="12">
        <f t="shared" ca="1" si="221"/>
        <v>6374.3819305148263</v>
      </c>
      <c r="M342" s="12">
        <f t="shared" ca="1" si="221"/>
        <v>8738.9577982036153</v>
      </c>
      <c r="N342" s="12">
        <f t="shared" ca="1" si="221"/>
        <v>11532.333960765984</v>
      </c>
      <c r="O342" s="12">
        <f t="shared" ca="1" si="221"/>
        <v>14834.992448445577</v>
      </c>
      <c r="P342" s="12">
        <f t="shared" ca="1" si="221"/>
        <v>18732.544466006359</v>
      </c>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row>
    <row r="343" spans="1:42" ht="15.75" x14ac:dyDescent="0.3">
      <c r="A343" s="6"/>
      <c r="B343" s="6"/>
      <c r="C343" s="6"/>
      <c r="D343" s="6"/>
      <c r="E343" s="6"/>
      <c r="F343" s="6"/>
      <c r="G343" s="12"/>
      <c r="H343" s="12"/>
      <c r="I343" s="12"/>
      <c r="J343" s="12"/>
      <c r="K343" s="12"/>
      <c r="L343" s="12"/>
      <c r="M343" s="12"/>
      <c r="N343" s="12"/>
      <c r="O343" s="12"/>
      <c r="P343" s="12"/>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row>
    <row r="344" spans="1:42" ht="15.75" x14ac:dyDescent="0.3">
      <c r="A344" s="6" t="s">
        <v>415</v>
      </c>
      <c r="B344" s="6"/>
      <c r="C344" s="6"/>
      <c r="D344" s="6"/>
      <c r="E344" s="6"/>
      <c r="F344" s="6"/>
      <c r="G344" s="14">
        <f>G340/G303</f>
        <v>7.8946318763503411</v>
      </c>
      <c r="H344" s="14">
        <f>H340/H303</f>
        <v>6.0898825144111992</v>
      </c>
      <c r="I344" s="14">
        <f t="shared" ref="I344:P344" si="222">I340/I303</f>
        <v>7.6930269325369061</v>
      </c>
      <c r="J344" s="14">
        <f t="shared" ca="1" si="222"/>
        <v>6.5757934560367879</v>
      </c>
      <c r="K344" s="14">
        <f t="shared" ca="1" si="222"/>
        <v>5.7741755992511852</v>
      </c>
      <c r="L344" s="14">
        <f t="shared" ca="1" si="222"/>
        <v>5.07673120517134</v>
      </c>
      <c r="M344" s="14">
        <f t="shared" ca="1" si="222"/>
        <v>4.4205851176775806</v>
      </c>
      <c r="N344" s="14">
        <f t="shared" ca="1" si="222"/>
        <v>3.8244520892606371</v>
      </c>
      <c r="O344" s="14">
        <f t="shared" ca="1" si="222"/>
        <v>3.257856461809181</v>
      </c>
      <c r="P344" s="14">
        <f t="shared" ca="1" si="222"/>
        <v>2.7154467145388761</v>
      </c>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row>
    <row r="345" spans="1:42" ht="15.75" x14ac:dyDescent="0.3">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row>
    <row r="346" spans="1:42" ht="15.75" x14ac:dyDescent="0.3">
      <c r="A346" s="6" t="s">
        <v>59</v>
      </c>
      <c r="B346" s="6"/>
      <c r="C346" s="6"/>
      <c r="D346" s="6"/>
      <c r="E346" s="6"/>
      <c r="F346" s="6"/>
      <c r="G346" s="6"/>
      <c r="H346" s="397">
        <f>(76000*H176)*500/1000000</f>
        <v>766.46000000000015</v>
      </c>
      <c r="I346" s="12">
        <f t="shared" ref="I346:P346" si="223">I350*I176</f>
        <v>1669.2840000000001</v>
      </c>
      <c r="J346" s="12">
        <f t="shared" si="223"/>
        <v>3171.3192000000004</v>
      </c>
      <c r="K346" s="12">
        <f t="shared" si="223"/>
        <v>2060.5329370080003</v>
      </c>
      <c r="L346" s="12">
        <f t="shared" si="223"/>
        <v>2059.7087238331974</v>
      </c>
      <c r="M346" s="12">
        <f t="shared" si="223"/>
        <v>2100.9028983098615</v>
      </c>
      <c r="N346" s="12">
        <f t="shared" si="223"/>
        <v>2142.9209562760589</v>
      </c>
      <c r="O346" s="12">
        <f t="shared" si="223"/>
        <v>2185.7793754015802</v>
      </c>
      <c r="P346" s="12">
        <f t="shared" si="223"/>
        <v>2229.4949629096113</v>
      </c>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row>
    <row r="347" spans="1:42" ht="15.75" x14ac:dyDescent="0.3">
      <c r="A347" s="233" t="s">
        <v>286</v>
      </c>
      <c r="B347" s="6"/>
      <c r="C347" s="6"/>
      <c r="D347" s="6"/>
      <c r="E347" s="6"/>
      <c r="F347" s="6"/>
      <c r="G347" s="6"/>
      <c r="H347" s="21">
        <f>H346/H253</f>
        <v>6.2614165509353822E-2</v>
      </c>
      <c r="I347" s="21">
        <f t="shared" ref="I347:P347" si="224">I346/I253</f>
        <v>0.12441397130310336</v>
      </c>
      <c r="J347" s="21">
        <f t="shared" si="224"/>
        <v>0.20492132553696749</v>
      </c>
      <c r="K347" s="21">
        <f t="shared" si="224"/>
        <v>0.12202116419657132</v>
      </c>
      <c r="L347" s="21">
        <f t="shared" si="224"/>
        <v>0.11263622374327087</v>
      </c>
      <c r="M347" s="21">
        <f t="shared" si="224"/>
        <v>0.10620996979387343</v>
      </c>
      <c r="N347" s="21">
        <f t="shared" si="224"/>
        <v>0.10045469271372708</v>
      </c>
      <c r="O347" s="21">
        <f t="shared" si="224"/>
        <v>9.5095555802227907E-2</v>
      </c>
      <c r="P347" s="21">
        <f t="shared" si="224"/>
        <v>9.0097589409481232E-2</v>
      </c>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row>
    <row r="348" spans="1:42" ht="15.75" x14ac:dyDescent="0.3">
      <c r="A348" s="233" t="s">
        <v>457</v>
      </c>
      <c r="B348" s="6"/>
      <c r="C348" s="6"/>
      <c r="D348" s="6"/>
      <c r="E348" s="6"/>
      <c r="F348" s="6"/>
      <c r="G348" s="6"/>
      <c r="H348" s="21">
        <f>H346/H303</f>
        <v>0.10519626681306618</v>
      </c>
      <c r="I348" s="21">
        <f t="shared" ref="I348:P348" si="225">I346/I303</f>
        <v>0.24318903828212679</v>
      </c>
      <c r="J348" s="21">
        <f t="shared" si="225"/>
        <v>0.39657145435916308</v>
      </c>
      <c r="K348" s="21">
        <f t="shared" si="225"/>
        <v>0.23354283176688448</v>
      </c>
      <c r="L348" s="21">
        <f t="shared" si="225"/>
        <v>0.21355445496022329</v>
      </c>
      <c r="M348" s="21">
        <f t="shared" si="225"/>
        <v>0.19929688398511367</v>
      </c>
      <c r="N348" s="21">
        <f t="shared" si="225"/>
        <v>0.18708386122646908</v>
      </c>
      <c r="O348" s="21">
        <f t="shared" si="225"/>
        <v>0.17580916769881205</v>
      </c>
      <c r="P348" s="21">
        <f t="shared" si="225"/>
        <v>0.16538323277296021</v>
      </c>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row>
    <row r="349" spans="1:42" ht="15.75" x14ac:dyDescent="0.3">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row>
    <row r="350" spans="1:42" ht="15.75" x14ac:dyDescent="0.3">
      <c r="A350" s="6" t="s">
        <v>58</v>
      </c>
      <c r="B350" s="6"/>
      <c r="C350" s="6"/>
      <c r="D350" s="6"/>
      <c r="E350" s="6"/>
      <c r="F350" s="6"/>
      <c r="G350" s="6"/>
      <c r="H350" s="12">
        <f>H351*H352/1000</f>
        <v>-64.515000000000001</v>
      </c>
      <c r="I350" s="12">
        <f t="shared" ref="I350:P350" si="226">I351*I352/1000</f>
        <v>93.78</v>
      </c>
      <c r="J350" s="12">
        <f t="shared" si="226"/>
        <v>176.4</v>
      </c>
      <c r="K350" s="12">
        <f t="shared" si="226"/>
        <v>112.3668</v>
      </c>
      <c r="L350" s="12">
        <f t="shared" si="226"/>
        <v>110.11946400000002</v>
      </c>
      <c r="M350" s="12">
        <f t="shared" si="226"/>
        <v>110.11946400000002</v>
      </c>
      <c r="N350" s="12">
        <f t="shared" si="226"/>
        <v>110.11946400000002</v>
      </c>
      <c r="O350" s="12">
        <f t="shared" si="226"/>
        <v>110.11946400000002</v>
      </c>
      <c r="P350" s="12">
        <f t="shared" si="226"/>
        <v>110.11946400000002</v>
      </c>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row>
    <row r="351" spans="1:42" ht="15.75" x14ac:dyDescent="0.3">
      <c r="A351" s="6" t="s">
        <v>52</v>
      </c>
      <c r="B351" s="6"/>
      <c r="C351" s="6"/>
      <c r="D351" s="6"/>
      <c r="E351" s="6"/>
      <c r="F351" s="6"/>
      <c r="G351" s="6"/>
      <c r="H351" s="12">
        <f>H22-1370</f>
        <v>-759</v>
      </c>
      <c r="I351" s="12">
        <f>I22-1388-2980</f>
        <v>1042</v>
      </c>
      <c r="J351" s="6">
        <f t="shared" ref="J351:P351" si="227">J22</f>
        <v>2000</v>
      </c>
      <c r="K351" s="6">
        <f t="shared" si="227"/>
        <v>1300</v>
      </c>
      <c r="L351" s="6">
        <f t="shared" si="227"/>
        <v>1300</v>
      </c>
      <c r="M351" s="6">
        <f t="shared" si="227"/>
        <v>1300</v>
      </c>
      <c r="N351" s="6">
        <f t="shared" si="227"/>
        <v>1300</v>
      </c>
      <c r="O351" s="6">
        <f t="shared" si="227"/>
        <v>1300</v>
      </c>
      <c r="P351" s="6">
        <f t="shared" si="227"/>
        <v>1300</v>
      </c>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row>
    <row r="352" spans="1:42" ht="15.75" x14ac:dyDescent="0.3">
      <c r="A352" s="6" t="s">
        <v>53</v>
      </c>
      <c r="B352" s="6"/>
      <c r="C352" s="6"/>
      <c r="D352" s="6"/>
      <c r="E352" s="6"/>
      <c r="F352" s="6"/>
      <c r="G352" s="6"/>
      <c r="H352" s="341">
        <v>85</v>
      </c>
      <c r="I352" s="401">
        <v>90</v>
      </c>
      <c r="J352" s="342">
        <f t="shared" ref="J352:P352" si="228">I352*(1+J353)</f>
        <v>88.2</v>
      </c>
      <c r="K352" s="342">
        <f t="shared" si="228"/>
        <v>86.436000000000007</v>
      </c>
      <c r="L352" s="342">
        <f t="shared" si="228"/>
        <v>84.707280000000011</v>
      </c>
      <c r="M352" s="342">
        <f t="shared" si="228"/>
        <v>84.707280000000011</v>
      </c>
      <c r="N352" s="342">
        <f t="shared" si="228"/>
        <v>84.707280000000011</v>
      </c>
      <c r="O352" s="342">
        <f t="shared" si="228"/>
        <v>84.707280000000011</v>
      </c>
      <c r="P352" s="342">
        <f t="shared" si="228"/>
        <v>84.707280000000011</v>
      </c>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row>
    <row r="353" spans="1:42" ht="15.75" x14ac:dyDescent="0.3">
      <c r="A353" s="6" t="s">
        <v>40</v>
      </c>
      <c r="B353" s="6"/>
      <c r="C353" s="6"/>
      <c r="D353" s="6"/>
      <c r="E353" s="6"/>
      <c r="F353" s="6"/>
      <c r="G353" s="6"/>
      <c r="H353" s="341"/>
      <c r="I353" s="330">
        <v>-0.02</v>
      </c>
      <c r="J353" s="330">
        <v>-0.02</v>
      </c>
      <c r="K353" s="330">
        <v>-0.02</v>
      </c>
      <c r="L353" s="330">
        <v>-0.02</v>
      </c>
      <c r="M353" s="330">
        <v>0</v>
      </c>
      <c r="N353" s="330">
        <v>0</v>
      </c>
      <c r="O353" s="330">
        <v>0</v>
      </c>
      <c r="P353" s="330">
        <v>0</v>
      </c>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row>
    <row r="354" spans="1:42" ht="15.75" x14ac:dyDescent="0.3">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row>
    <row r="355" spans="1:42" ht="15.75" x14ac:dyDescent="0.3">
      <c r="A355" s="6" t="s">
        <v>509</v>
      </c>
      <c r="B355" s="6"/>
      <c r="C355" s="6"/>
      <c r="D355" s="6"/>
      <c r="E355" s="6"/>
      <c r="F355" s="6"/>
      <c r="G355" s="6"/>
      <c r="H355" s="12">
        <f>H303-H346</f>
        <v>6519.54</v>
      </c>
      <c r="I355" s="12">
        <f t="shared" ref="I355:P355" si="229">I303-I346</f>
        <v>5194.8576232891301</v>
      </c>
      <c r="J355" s="12">
        <f t="shared" si="229"/>
        <v>4825.5226431040919</v>
      </c>
      <c r="K355" s="12">
        <f t="shared" si="229"/>
        <v>6762.4008324376118</v>
      </c>
      <c r="L355" s="12">
        <f t="shared" si="229"/>
        <v>7585.1789195401961</v>
      </c>
      <c r="M355" s="12">
        <f t="shared" si="229"/>
        <v>8440.6713415903814</v>
      </c>
      <c r="N355" s="12">
        <f t="shared" si="229"/>
        <v>9311.4126363046853</v>
      </c>
      <c r="O355" s="12">
        <f t="shared" si="229"/>
        <v>10246.902059881442</v>
      </c>
      <c r="P355" s="12">
        <f t="shared" si="229"/>
        <v>11251.284953699496</v>
      </c>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row>
    <row r="356" spans="1:42" ht="15.75" x14ac:dyDescent="0.3">
      <c r="A356" s="6" t="s">
        <v>510</v>
      </c>
      <c r="B356" s="6"/>
      <c r="C356" s="6"/>
      <c r="D356" s="6"/>
      <c r="E356" s="6"/>
      <c r="F356" s="6"/>
      <c r="G356" s="6"/>
      <c r="H356" s="21">
        <f>H355/H253</f>
        <v>0.53259864390164202</v>
      </c>
      <c r="I356" s="21">
        <f t="shared" ref="I356:P356" si="230">I355/I253</f>
        <v>0.3871796933700925</v>
      </c>
      <c r="J356" s="21">
        <f t="shared" si="230"/>
        <v>0.31181108998221979</v>
      </c>
      <c r="K356" s="21">
        <f t="shared" si="230"/>
        <v>0.40045757460012715</v>
      </c>
      <c r="L356" s="21">
        <f t="shared" si="230"/>
        <v>0.41479938402361244</v>
      </c>
      <c r="M356" s="21">
        <f t="shared" si="230"/>
        <v>0.42671341400477497</v>
      </c>
      <c r="N356" s="21">
        <f t="shared" si="230"/>
        <v>0.4364953790625043</v>
      </c>
      <c r="O356" s="21">
        <f t="shared" si="230"/>
        <v>0.4458065885338463</v>
      </c>
      <c r="P356" s="21">
        <f t="shared" si="230"/>
        <v>0.45468308695550508</v>
      </c>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row>
    <row r="357" spans="1:42" ht="15.75" x14ac:dyDescent="0.3">
      <c r="A357" s="6" t="s">
        <v>508</v>
      </c>
      <c r="B357" s="6"/>
      <c r="C357" s="6"/>
      <c r="D357" s="6"/>
      <c r="E357" s="6"/>
      <c r="F357" s="6"/>
      <c r="G357" s="6"/>
      <c r="H357" s="12">
        <f>H355*1000000/AVERAGE(G21,H21)/12</f>
        <v>18482.250684628601</v>
      </c>
      <c r="I357" s="12">
        <f t="shared" ref="I357:P357" si="231">I355*1000000/AVERAGE(H21,I21)/12</f>
        <v>13358.785469998174</v>
      </c>
      <c r="J357" s="12">
        <f t="shared" si="231"/>
        <v>11135.855748257898</v>
      </c>
      <c r="K357" s="12">
        <f t="shared" si="231"/>
        <v>14923.688533225664</v>
      </c>
      <c r="L357" s="12">
        <f t="shared" si="231"/>
        <v>16182.336430071335</v>
      </c>
      <c r="M357" s="12">
        <f t="shared" si="231"/>
        <v>17427.449232324896</v>
      </c>
      <c r="N357" s="12">
        <f t="shared" si="231"/>
        <v>18625.358321341075</v>
      </c>
      <c r="O357" s="12">
        <f t="shared" si="231"/>
        <v>19876.364725916999</v>
      </c>
      <c r="P357" s="12">
        <f t="shared" si="231"/>
        <v>21183.59457479402</v>
      </c>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row>
    <row r="358" spans="1:42" ht="15.75" x14ac:dyDescent="0.3">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row>
    <row r="359" spans="1:42" ht="15.75" x14ac:dyDescent="0.3">
      <c r="A359" s="6" t="s">
        <v>37</v>
      </c>
      <c r="B359" s="6"/>
      <c r="C359" s="6"/>
      <c r="D359" s="6"/>
      <c r="E359" s="6"/>
      <c r="F359" s="6"/>
      <c r="G359" s="12">
        <f>G297-G346-G300+G311+G327</f>
        <v>1877</v>
      </c>
      <c r="H359" s="12">
        <f>H297-H346-H300+H311+H327</f>
        <v>2313.5399999999991</v>
      </c>
      <c r="I359" s="12">
        <f t="shared" ref="I359:P359" si="232">I297-I346-I300+I311+I327</f>
        <v>-1405.1423767108699</v>
      </c>
      <c r="J359" s="12">
        <f t="shared" ca="1" si="232"/>
        <v>220.44611586580396</v>
      </c>
      <c r="K359" s="12">
        <f t="shared" ca="1" si="232"/>
        <v>1640.4113755029366</v>
      </c>
      <c r="L359" s="12">
        <f t="shared" ca="1" si="232"/>
        <v>1980.6668158569551</v>
      </c>
      <c r="M359" s="12">
        <f t="shared" ca="1" si="232"/>
        <v>2364.5758676887885</v>
      </c>
      <c r="N359" s="12">
        <f t="shared" ca="1" si="232"/>
        <v>2793.3761625623688</v>
      </c>
      <c r="O359" s="12">
        <f t="shared" ca="1" si="232"/>
        <v>3302.6584876795928</v>
      </c>
      <c r="P359" s="12">
        <f t="shared" ca="1" si="232"/>
        <v>3897.5520175607817</v>
      </c>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row>
    <row r="360" spans="1:42" ht="15.75" x14ac:dyDescent="0.3">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row>
    <row r="361" spans="1:42" ht="15.75" x14ac:dyDescent="0.3">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row>
    <row r="362" spans="1:42" ht="15.75" x14ac:dyDescent="0.3">
      <c r="A362" s="24" t="s">
        <v>60</v>
      </c>
      <c r="B362" s="24"/>
      <c r="C362" s="24"/>
      <c r="D362" s="24"/>
      <c r="E362" s="24"/>
      <c r="F362" s="24"/>
      <c r="G362" s="24"/>
      <c r="H362" s="24"/>
      <c r="I362" s="24"/>
      <c r="J362" s="24"/>
      <c r="K362" s="24"/>
      <c r="L362" s="24"/>
      <c r="M362" s="24"/>
      <c r="N362" s="24"/>
      <c r="O362" s="24"/>
      <c r="P362" s="24"/>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row>
    <row r="363" spans="1:42" ht="15.75" x14ac:dyDescent="0.3">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row>
    <row r="364" spans="1:42" ht="15.75" x14ac:dyDescent="0.3">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row>
    <row r="365" spans="1:42" ht="15.75" x14ac:dyDescent="0.3">
      <c r="A365" s="6" t="s">
        <v>43</v>
      </c>
      <c r="B365" s="6"/>
      <c r="C365" s="6"/>
      <c r="D365" s="6"/>
      <c r="E365" s="6"/>
      <c r="F365" s="6"/>
      <c r="G365" s="329">
        <v>12210</v>
      </c>
      <c r="H365" s="329">
        <v>5938</v>
      </c>
      <c r="I365" s="397">
        <f>H365+I359-2000</f>
        <v>2532.8576232891301</v>
      </c>
      <c r="J365" s="12">
        <f t="shared" ref="J365:P365" ca="1" si="233">I365+J359</f>
        <v>2753.3037391549342</v>
      </c>
      <c r="K365" s="12">
        <f t="shared" ca="1" si="233"/>
        <v>4393.7151146578708</v>
      </c>
      <c r="L365" s="12">
        <f t="shared" ca="1" si="233"/>
        <v>6374.3819305148263</v>
      </c>
      <c r="M365" s="12">
        <f t="shared" ca="1" si="233"/>
        <v>8738.9577982036153</v>
      </c>
      <c r="N365" s="12">
        <f t="shared" ca="1" si="233"/>
        <v>11532.333960765984</v>
      </c>
      <c r="O365" s="12">
        <f t="shared" ca="1" si="233"/>
        <v>14834.992448445577</v>
      </c>
      <c r="P365" s="12">
        <f t="shared" ca="1" si="233"/>
        <v>18732.544466006359</v>
      </c>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row>
    <row r="366" spans="1:42" ht="15.75" x14ac:dyDescent="0.3">
      <c r="A366" s="24" t="s">
        <v>232</v>
      </c>
      <c r="B366" s="24"/>
      <c r="C366" s="24"/>
      <c r="D366" s="24"/>
      <c r="E366" s="24"/>
      <c r="F366" s="24"/>
      <c r="G366" s="343">
        <v>3424</v>
      </c>
      <c r="H366" s="343">
        <v>4498</v>
      </c>
      <c r="I366" s="344">
        <f t="shared" ref="I366:P366" si="234">I387+I389-I372-I365</f>
        <v>2800.837508178176</v>
      </c>
      <c r="J366" s="344">
        <f t="shared" ca="1" si="234"/>
        <v>8473.5291682484931</v>
      </c>
      <c r="K366" s="344">
        <f t="shared" ca="1" si="234"/>
        <v>14749.466959261232</v>
      </c>
      <c r="L366" s="344">
        <f t="shared" ca="1" si="234"/>
        <v>21438.269259482382</v>
      </c>
      <c r="M366" s="344">
        <f t="shared" ca="1" si="234"/>
        <v>28533.693452221079</v>
      </c>
      <c r="N366" s="344">
        <f t="shared" ca="1" si="234"/>
        <v>36063.570564174355</v>
      </c>
      <c r="O366" s="344">
        <f t="shared" ca="1" si="234"/>
        <v>44054.495173245079</v>
      </c>
      <c r="P366" s="344">
        <f t="shared" ca="1" si="234"/>
        <v>52533.898250767459</v>
      </c>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row>
    <row r="367" spans="1:42" ht="15.75" x14ac:dyDescent="0.3">
      <c r="A367" s="6" t="s">
        <v>61</v>
      </c>
      <c r="B367" s="6"/>
      <c r="C367" s="6"/>
      <c r="D367" s="6"/>
      <c r="E367" s="6"/>
      <c r="F367" s="6"/>
      <c r="G367" s="12">
        <f t="shared" ref="G367:P367" si="235">SUM(G365:G366)</f>
        <v>15634</v>
      </c>
      <c r="H367" s="12">
        <f t="shared" si="235"/>
        <v>10436</v>
      </c>
      <c r="I367" s="12">
        <f t="shared" si="235"/>
        <v>5333.6951314673061</v>
      </c>
      <c r="J367" s="12">
        <f t="shared" ca="1" si="235"/>
        <v>11226.832907403426</v>
      </c>
      <c r="K367" s="12">
        <f t="shared" ca="1" si="235"/>
        <v>19143.182073919103</v>
      </c>
      <c r="L367" s="12">
        <f t="shared" ca="1" si="235"/>
        <v>27812.65118999721</v>
      </c>
      <c r="M367" s="12">
        <f t="shared" ca="1" si="235"/>
        <v>37272.651250424693</v>
      </c>
      <c r="N367" s="12">
        <f t="shared" ca="1" si="235"/>
        <v>47595.904524940343</v>
      </c>
      <c r="O367" s="12">
        <f t="shared" ca="1" si="235"/>
        <v>58889.487621690656</v>
      </c>
      <c r="P367" s="12">
        <f t="shared" ca="1" si="235"/>
        <v>71266.442716773818</v>
      </c>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row>
    <row r="368" spans="1:42" ht="15.75" x14ac:dyDescent="0.3">
      <c r="A368" s="6"/>
      <c r="B368" s="6"/>
      <c r="C368" s="6"/>
      <c r="D368" s="6"/>
      <c r="E368" s="6"/>
      <c r="F368" s="6"/>
      <c r="G368" s="12"/>
      <c r="H368" s="12"/>
      <c r="I368" s="12"/>
      <c r="J368" s="12"/>
      <c r="K368" s="12"/>
      <c r="L368" s="12"/>
      <c r="M368" s="12"/>
      <c r="N368" s="12"/>
      <c r="O368" s="12"/>
      <c r="P368" s="12"/>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row>
    <row r="369" spans="1:42" ht="15.75" x14ac:dyDescent="0.3">
      <c r="A369" s="6" t="s">
        <v>233</v>
      </c>
      <c r="B369" s="6"/>
      <c r="C369" s="6"/>
      <c r="D369" s="6"/>
      <c r="E369" s="6"/>
      <c r="F369" s="6"/>
      <c r="G369" s="329">
        <v>64844</v>
      </c>
      <c r="H369" s="329">
        <v>68802</v>
      </c>
      <c r="I369" s="397">
        <f>H369+I346-I291+16500</f>
        <v>79492.805739130432</v>
      </c>
      <c r="J369" s="12">
        <f t="shared" ref="J369:P369" si="236">I369+J346-J291</f>
        <v>74023.602576181467</v>
      </c>
      <c r="K369" s="12">
        <f t="shared" si="236"/>
        <v>68038.091754908877</v>
      </c>
      <c r="L369" s="12">
        <f t="shared" si="236"/>
        <v>62702.355722773726</v>
      </c>
      <c r="M369" s="12">
        <f t="shared" si="236"/>
        <v>57987.785172956006</v>
      </c>
      <c r="N369" s="12">
        <f t="shared" si="236"/>
        <v>53827.686001736845</v>
      </c>
      <c r="O369" s="12">
        <f t="shared" si="236"/>
        <v>50162.629942167026</v>
      </c>
      <c r="P369" s="12">
        <f t="shared" si="236"/>
        <v>46939.665128754132</v>
      </c>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row>
    <row r="370" spans="1:42" ht="15.75" x14ac:dyDescent="0.3">
      <c r="A370" s="6" t="s">
        <v>42</v>
      </c>
      <c r="B370" s="6"/>
      <c r="C370" s="6"/>
      <c r="D370" s="6"/>
      <c r="E370" s="6"/>
      <c r="F370" s="6"/>
      <c r="G370" s="329">
        <v>166</v>
      </c>
      <c r="H370" s="329">
        <v>10</v>
      </c>
      <c r="I370" s="12">
        <f t="shared" ref="I370:P370" si="237">H370</f>
        <v>10</v>
      </c>
      <c r="J370" s="12">
        <f t="shared" si="237"/>
        <v>10</v>
      </c>
      <c r="K370" s="12">
        <f t="shared" si="237"/>
        <v>10</v>
      </c>
      <c r="L370" s="12">
        <f t="shared" si="237"/>
        <v>10</v>
      </c>
      <c r="M370" s="12">
        <f t="shared" si="237"/>
        <v>10</v>
      </c>
      <c r="N370" s="12">
        <f t="shared" si="237"/>
        <v>10</v>
      </c>
      <c r="O370" s="12">
        <f t="shared" si="237"/>
        <v>10</v>
      </c>
      <c r="P370" s="12">
        <f t="shared" si="237"/>
        <v>10</v>
      </c>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row>
    <row r="371" spans="1:42" ht="15.75" x14ac:dyDescent="0.3">
      <c r="A371" s="24" t="s">
        <v>234</v>
      </c>
      <c r="B371" s="24"/>
      <c r="C371" s="24"/>
      <c r="D371" s="24"/>
      <c r="E371" s="24"/>
      <c r="F371" s="24"/>
      <c r="G371" s="343">
        <v>15521</v>
      </c>
      <c r="H371" s="343">
        <v>12073</v>
      </c>
      <c r="I371" s="344">
        <f t="shared" ref="I371:P371" si="238">I393</f>
        <v>13831.167970775396</v>
      </c>
      <c r="J371" s="344">
        <f t="shared" si="238"/>
        <v>16028.994595333492</v>
      </c>
      <c r="K371" s="344">
        <f t="shared" si="238"/>
        <v>17180.433566980908</v>
      </c>
      <c r="L371" s="344">
        <f t="shared" si="238"/>
        <v>18216.202919648244</v>
      </c>
      <c r="M371" s="344">
        <f t="shared" si="238"/>
        <v>19293.022968969581</v>
      </c>
      <c r="N371" s="344">
        <f t="shared" si="238"/>
        <v>20412.298893932202</v>
      </c>
      <c r="O371" s="344">
        <f t="shared" si="238"/>
        <v>21575.48047578735</v>
      </c>
      <c r="P371" s="344">
        <f t="shared" si="238"/>
        <v>22784.063449926547</v>
      </c>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row>
    <row r="372" spans="1:42" ht="15.75" x14ac:dyDescent="0.3">
      <c r="A372" s="6" t="s">
        <v>62</v>
      </c>
      <c r="B372" s="6"/>
      <c r="C372" s="6"/>
      <c r="D372" s="6"/>
      <c r="E372" s="6"/>
      <c r="F372" s="6"/>
      <c r="G372" s="12">
        <f t="shared" ref="G372:P372" si="239">SUM(G369:G371)</f>
        <v>80531</v>
      </c>
      <c r="H372" s="12">
        <f t="shared" si="239"/>
        <v>80885</v>
      </c>
      <c r="I372" s="12">
        <f t="shared" si="239"/>
        <v>93333.973709905826</v>
      </c>
      <c r="J372" s="12">
        <f t="shared" si="239"/>
        <v>90062.597171514964</v>
      </c>
      <c r="K372" s="12">
        <f t="shared" si="239"/>
        <v>85228.525321889785</v>
      </c>
      <c r="L372" s="12">
        <f t="shared" si="239"/>
        <v>80928.558642421965</v>
      </c>
      <c r="M372" s="12">
        <f t="shared" si="239"/>
        <v>77290.80814192559</v>
      </c>
      <c r="N372" s="12">
        <f t="shared" si="239"/>
        <v>74249.98489566904</v>
      </c>
      <c r="O372" s="12">
        <f t="shared" si="239"/>
        <v>71748.110417954376</v>
      </c>
      <c r="P372" s="12">
        <f t="shared" si="239"/>
        <v>69733.728578680675</v>
      </c>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row>
    <row r="373" spans="1:42" ht="15.75" x14ac:dyDescent="0.3">
      <c r="A373" s="6"/>
      <c r="B373" s="6"/>
      <c r="C373" s="6"/>
      <c r="D373" s="6"/>
      <c r="E373" s="6"/>
      <c r="F373" s="6"/>
      <c r="G373" s="12"/>
      <c r="H373" s="12"/>
      <c r="I373" s="12"/>
      <c r="J373" s="12"/>
      <c r="K373" s="12"/>
      <c r="L373" s="12"/>
      <c r="M373" s="12"/>
      <c r="N373" s="12"/>
      <c r="O373" s="12"/>
      <c r="P373" s="12"/>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row>
    <row r="374" spans="1:42" ht="15.75" x14ac:dyDescent="0.3">
      <c r="A374" s="24" t="s">
        <v>66</v>
      </c>
      <c r="B374" s="24"/>
      <c r="C374" s="24"/>
      <c r="D374" s="24"/>
      <c r="E374" s="24"/>
      <c r="F374" s="24"/>
      <c r="G374" s="344">
        <f t="shared" ref="G374:P374" si="240">G372+G367</f>
        <v>96165</v>
      </c>
      <c r="H374" s="344">
        <f t="shared" si="240"/>
        <v>91321</v>
      </c>
      <c r="I374" s="344">
        <f t="shared" si="240"/>
        <v>98667.668841373132</v>
      </c>
      <c r="J374" s="344">
        <f t="shared" ca="1" si="240"/>
        <v>101289.43007891839</v>
      </c>
      <c r="K374" s="344">
        <f t="shared" ca="1" si="240"/>
        <v>104371.70739580889</v>
      </c>
      <c r="L374" s="344">
        <f t="shared" ca="1" si="240"/>
        <v>108741.20983241918</v>
      </c>
      <c r="M374" s="344">
        <f t="shared" ca="1" si="240"/>
        <v>114563.45939235028</v>
      </c>
      <c r="N374" s="344">
        <f t="shared" ca="1" si="240"/>
        <v>121845.88942060938</v>
      </c>
      <c r="O374" s="344">
        <f t="shared" ca="1" si="240"/>
        <v>130637.59803964503</v>
      </c>
      <c r="P374" s="344">
        <f t="shared" ca="1" si="240"/>
        <v>141000.17129545449</v>
      </c>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row>
    <row r="375" spans="1:42" ht="15.75" x14ac:dyDescent="0.3">
      <c r="A375" s="6"/>
      <c r="B375" s="6"/>
      <c r="C375" s="6"/>
      <c r="D375" s="6"/>
      <c r="E375" s="6"/>
      <c r="F375" s="6"/>
      <c r="G375" s="12"/>
      <c r="H375" s="12"/>
      <c r="I375" s="12"/>
      <c r="J375" s="12"/>
      <c r="K375" s="12"/>
      <c r="L375" s="12"/>
      <c r="M375" s="12"/>
      <c r="N375" s="12"/>
      <c r="O375" s="12"/>
      <c r="P375" s="12"/>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row>
    <row r="376" spans="1:42" ht="15.75" x14ac:dyDescent="0.3">
      <c r="A376" s="6" t="s">
        <v>69</v>
      </c>
      <c r="B376" s="6"/>
      <c r="C376" s="6"/>
      <c r="D376" s="6"/>
      <c r="E376" s="6"/>
      <c r="F376" s="6"/>
      <c r="G376" s="329">
        <v>16896</v>
      </c>
      <c r="H376" s="329">
        <v>338.88400000000001</v>
      </c>
      <c r="I376" s="12">
        <f t="shared" ref="I376:P377" si="241">H376</f>
        <v>338.88400000000001</v>
      </c>
      <c r="J376" s="12">
        <f t="shared" si="241"/>
        <v>338.88400000000001</v>
      </c>
      <c r="K376" s="12">
        <f t="shared" si="241"/>
        <v>338.88400000000001</v>
      </c>
      <c r="L376" s="12">
        <f t="shared" si="241"/>
        <v>338.88400000000001</v>
      </c>
      <c r="M376" s="12">
        <f t="shared" si="241"/>
        <v>338.88400000000001</v>
      </c>
      <c r="N376" s="12">
        <f t="shared" si="241"/>
        <v>338.88400000000001</v>
      </c>
      <c r="O376" s="12">
        <f t="shared" si="241"/>
        <v>338.88400000000001</v>
      </c>
      <c r="P376" s="12">
        <f t="shared" si="241"/>
        <v>338.88400000000001</v>
      </c>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row>
    <row r="377" spans="1:42" ht="15.75" x14ac:dyDescent="0.3">
      <c r="A377" s="6" t="s">
        <v>235</v>
      </c>
      <c r="B377" s="6"/>
      <c r="C377" s="6"/>
      <c r="D377" s="6"/>
      <c r="E377" s="6"/>
      <c r="F377" s="6"/>
      <c r="G377" s="329">
        <v>3298</v>
      </c>
      <c r="H377" s="329">
        <v>3403</v>
      </c>
      <c r="I377" s="399">
        <v>1300</v>
      </c>
      <c r="J377" s="12">
        <f t="shared" si="241"/>
        <v>1300</v>
      </c>
      <c r="K377" s="12">
        <f t="shared" si="241"/>
        <v>1300</v>
      </c>
      <c r="L377" s="12">
        <f t="shared" si="241"/>
        <v>1300</v>
      </c>
      <c r="M377" s="12">
        <f t="shared" si="241"/>
        <v>1300</v>
      </c>
      <c r="N377" s="12">
        <f t="shared" si="241"/>
        <v>1300</v>
      </c>
      <c r="O377" s="12">
        <f t="shared" si="241"/>
        <v>1300</v>
      </c>
      <c r="P377" s="12">
        <f t="shared" si="241"/>
        <v>1300</v>
      </c>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row>
    <row r="378" spans="1:42" ht="15.75" x14ac:dyDescent="0.3">
      <c r="A378" s="24" t="s">
        <v>68</v>
      </c>
      <c r="B378" s="24"/>
      <c r="C378" s="24"/>
      <c r="D378" s="24"/>
      <c r="E378" s="24"/>
      <c r="F378" s="24"/>
      <c r="G378" s="343">
        <v>905</v>
      </c>
      <c r="H378" s="343">
        <v>4285</v>
      </c>
      <c r="I378" s="402">
        <v>5000</v>
      </c>
      <c r="J378" s="344">
        <f t="shared" ref="J378:P378" si="242">I378</f>
        <v>5000</v>
      </c>
      <c r="K378" s="344">
        <f t="shared" si="242"/>
        <v>5000</v>
      </c>
      <c r="L378" s="344">
        <f t="shared" si="242"/>
        <v>5000</v>
      </c>
      <c r="M378" s="344">
        <f t="shared" si="242"/>
        <v>5000</v>
      </c>
      <c r="N378" s="344">
        <f t="shared" si="242"/>
        <v>5000</v>
      </c>
      <c r="O378" s="344">
        <f t="shared" si="242"/>
        <v>5000</v>
      </c>
      <c r="P378" s="344">
        <f t="shared" si="242"/>
        <v>5000</v>
      </c>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row>
    <row r="379" spans="1:42" ht="15.75" x14ac:dyDescent="0.3">
      <c r="A379" s="6" t="s">
        <v>63</v>
      </c>
      <c r="B379" s="6"/>
      <c r="C379" s="6"/>
      <c r="D379" s="6"/>
      <c r="E379" s="6"/>
      <c r="F379" s="6"/>
      <c r="G379" s="12">
        <f>SUM(G376:G378)</f>
        <v>21099</v>
      </c>
      <c r="H379" s="12">
        <f t="shared" ref="H379:P379" si="243">SUM(H376:H378)</f>
        <v>8026.884</v>
      </c>
      <c r="I379" s="12">
        <f t="shared" si="243"/>
        <v>6638.884</v>
      </c>
      <c r="J379" s="12">
        <f t="shared" si="243"/>
        <v>6638.884</v>
      </c>
      <c r="K379" s="12">
        <f t="shared" si="243"/>
        <v>6638.884</v>
      </c>
      <c r="L379" s="12">
        <f t="shared" si="243"/>
        <v>6638.884</v>
      </c>
      <c r="M379" s="12">
        <f t="shared" si="243"/>
        <v>6638.884</v>
      </c>
      <c r="N379" s="12">
        <f t="shared" si="243"/>
        <v>6638.884</v>
      </c>
      <c r="O379" s="12">
        <f t="shared" si="243"/>
        <v>6638.884</v>
      </c>
      <c r="P379" s="12">
        <f t="shared" si="243"/>
        <v>6638.884</v>
      </c>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row>
    <row r="380" spans="1:42" ht="15.75" x14ac:dyDescent="0.3">
      <c r="A380" s="6"/>
      <c r="B380" s="6"/>
      <c r="C380" s="6"/>
      <c r="D380" s="6"/>
      <c r="E380" s="6"/>
      <c r="F380" s="6"/>
      <c r="G380" s="12"/>
      <c r="H380" s="12"/>
      <c r="I380" s="12"/>
      <c r="J380" s="12"/>
      <c r="K380" s="12"/>
      <c r="L380" s="12"/>
      <c r="M380" s="12"/>
      <c r="N380" s="12"/>
      <c r="O380" s="12"/>
      <c r="P380" s="12"/>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row>
    <row r="381" spans="1:42" ht="15.75" x14ac:dyDescent="0.3">
      <c r="A381" s="6" t="s">
        <v>236</v>
      </c>
      <c r="B381" s="6"/>
      <c r="C381" s="6"/>
      <c r="D381" s="6"/>
      <c r="E381" s="6"/>
      <c r="F381" s="6"/>
      <c r="G381" s="329">
        <v>42816</v>
      </c>
      <c r="H381" s="329">
        <v>49970</v>
      </c>
      <c r="I381" s="399">
        <v>55000</v>
      </c>
      <c r="J381" s="12">
        <f t="shared" ref="J381:P381" si="244">I381</f>
        <v>55000</v>
      </c>
      <c r="K381" s="12">
        <f t="shared" si="244"/>
        <v>55000</v>
      </c>
      <c r="L381" s="12">
        <f t="shared" si="244"/>
        <v>55000</v>
      </c>
      <c r="M381" s="12">
        <f t="shared" si="244"/>
        <v>55000</v>
      </c>
      <c r="N381" s="12">
        <f t="shared" si="244"/>
        <v>55000</v>
      </c>
      <c r="O381" s="12">
        <f t="shared" si="244"/>
        <v>55000</v>
      </c>
      <c r="P381" s="12">
        <f t="shared" si="244"/>
        <v>55000</v>
      </c>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row>
    <row r="382" spans="1:42" ht="15.75" x14ac:dyDescent="0.3">
      <c r="A382" s="6" t="s">
        <v>42</v>
      </c>
      <c r="B382" s="6"/>
      <c r="C382" s="6"/>
      <c r="D382" s="6"/>
      <c r="E382" s="6"/>
      <c r="F382" s="6"/>
      <c r="G382" s="329">
        <v>12401</v>
      </c>
      <c r="H382" s="329">
        <v>13930</v>
      </c>
      <c r="I382" s="399">
        <v>16500</v>
      </c>
      <c r="J382" s="12">
        <f t="shared" ref="J382:P382" si="245">I382</f>
        <v>16500</v>
      </c>
      <c r="K382" s="12">
        <f t="shared" si="245"/>
        <v>16500</v>
      </c>
      <c r="L382" s="12">
        <f t="shared" si="245"/>
        <v>16500</v>
      </c>
      <c r="M382" s="12">
        <f t="shared" si="245"/>
        <v>16500</v>
      </c>
      <c r="N382" s="12">
        <f t="shared" si="245"/>
        <v>16500</v>
      </c>
      <c r="O382" s="12">
        <f t="shared" si="245"/>
        <v>16500</v>
      </c>
      <c r="P382" s="12">
        <f t="shared" si="245"/>
        <v>16500</v>
      </c>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row>
    <row r="383" spans="1:42" ht="15.75" x14ac:dyDescent="0.3">
      <c r="A383" s="6" t="s">
        <v>71</v>
      </c>
      <c r="B383" s="6"/>
      <c r="C383" s="6"/>
      <c r="D383" s="6"/>
      <c r="E383" s="6"/>
      <c r="F383" s="6"/>
      <c r="G383" s="329">
        <v>12285</v>
      </c>
      <c r="H383" s="329">
        <v>9696</v>
      </c>
      <c r="I383" s="12">
        <f t="shared" ref="I383:P383" si="246">I397</f>
        <v>11108.009992929532</v>
      </c>
      <c r="J383" s="12">
        <f t="shared" si="246"/>
        <v>12873.116176290361</v>
      </c>
      <c r="K383" s="12">
        <f t="shared" si="246"/>
        <v>13797.853380721188</v>
      </c>
      <c r="L383" s="12">
        <f t="shared" si="246"/>
        <v>14629.69464995522</v>
      </c>
      <c r="M383" s="12">
        <f t="shared" si="246"/>
        <v>15494.504324288004</v>
      </c>
      <c r="N383" s="12">
        <f t="shared" si="246"/>
        <v>16393.410923181204</v>
      </c>
      <c r="O383" s="12">
        <f t="shared" si="246"/>
        <v>17327.578786816382</v>
      </c>
      <c r="P383" s="12">
        <f t="shared" si="246"/>
        <v>18298.209161806331</v>
      </c>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row>
    <row r="384" spans="1:42" ht="15.75" x14ac:dyDescent="0.3">
      <c r="A384" s="24" t="s">
        <v>70</v>
      </c>
      <c r="B384" s="24"/>
      <c r="C384" s="24"/>
      <c r="D384" s="24"/>
      <c r="E384" s="24"/>
      <c r="F384" s="24"/>
      <c r="G384" s="343">
        <v>4187</v>
      </c>
      <c r="H384" s="343">
        <v>5436</v>
      </c>
      <c r="I384" s="402">
        <v>6000</v>
      </c>
      <c r="J384" s="344">
        <f t="shared" ref="J384:P384" si="247">I384</f>
        <v>6000</v>
      </c>
      <c r="K384" s="344">
        <f t="shared" si="247"/>
        <v>6000</v>
      </c>
      <c r="L384" s="344">
        <f t="shared" si="247"/>
        <v>6000</v>
      </c>
      <c r="M384" s="344">
        <f t="shared" si="247"/>
        <v>6000</v>
      </c>
      <c r="N384" s="344">
        <f t="shared" si="247"/>
        <v>6000</v>
      </c>
      <c r="O384" s="344">
        <f t="shared" si="247"/>
        <v>6000</v>
      </c>
      <c r="P384" s="344">
        <f t="shared" si="247"/>
        <v>6000</v>
      </c>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row>
    <row r="385" spans="1:42" ht="15.75" x14ac:dyDescent="0.3">
      <c r="A385" s="6" t="s">
        <v>64</v>
      </c>
      <c r="B385" s="6"/>
      <c r="C385" s="6"/>
      <c r="D385" s="6"/>
      <c r="E385" s="6"/>
      <c r="F385" s="6"/>
      <c r="G385" s="12">
        <f>SUM(G381:G384)</f>
        <v>71689</v>
      </c>
      <c r="H385" s="12">
        <f t="shared" ref="H385:P385" si="248">SUM(H381:H384)</f>
        <v>79032</v>
      </c>
      <c r="I385" s="12">
        <f t="shared" si="248"/>
        <v>88608.009992929525</v>
      </c>
      <c r="J385" s="12">
        <f t="shared" si="248"/>
        <v>90373.116176290365</v>
      </c>
      <c r="K385" s="12">
        <f t="shared" si="248"/>
        <v>91297.853380721193</v>
      </c>
      <c r="L385" s="12">
        <f t="shared" si="248"/>
        <v>92129.694649955214</v>
      </c>
      <c r="M385" s="12">
        <f t="shared" si="248"/>
        <v>92994.504324288006</v>
      </c>
      <c r="N385" s="12">
        <f t="shared" si="248"/>
        <v>93893.410923181204</v>
      </c>
      <c r="O385" s="12">
        <f t="shared" si="248"/>
        <v>94827.57878681639</v>
      </c>
      <c r="P385" s="12">
        <f t="shared" si="248"/>
        <v>95798.209161806328</v>
      </c>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row>
    <row r="386" spans="1:42" ht="15.75" x14ac:dyDescent="0.3">
      <c r="A386" s="6"/>
      <c r="B386" s="6"/>
      <c r="C386" s="6"/>
      <c r="D386" s="6"/>
      <c r="E386" s="6"/>
      <c r="F386" s="6"/>
      <c r="G386" s="12"/>
      <c r="H386" s="12"/>
      <c r="I386" s="12"/>
      <c r="J386" s="12"/>
      <c r="K386" s="12"/>
      <c r="L386" s="12"/>
      <c r="M386" s="12"/>
      <c r="N386" s="12"/>
      <c r="O386" s="12"/>
      <c r="P386" s="12"/>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row>
    <row r="387" spans="1:42" ht="15.75" x14ac:dyDescent="0.3">
      <c r="A387" s="24" t="s">
        <v>67</v>
      </c>
      <c r="B387" s="24"/>
      <c r="C387" s="24"/>
      <c r="D387" s="24"/>
      <c r="E387" s="24"/>
      <c r="F387" s="24"/>
      <c r="G387" s="344">
        <f t="shared" ref="G387:P387" si="249">G385+G379</f>
        <v>92788</v>
      </c>
      <c r="H387" s="344">
        <f t="shared" si="249"/>
        <v>87058.884000000005</v>
      </c>
      <c r="I387" s="344">
        <f t="shared" si="249"/>
        <v>95246.89399292953</v>
      </c>
      <c r="J387" s="344">
        <f t="shared" si="249"/>
        <v>97012.00017629037</v>
      </c>
      <c r="K387" s="344">
        <f t="shared" si="249"/>
        <v>97936.737380721199</v>
      </c>
      <c r="L387" s="344">
        <f t="shared" si="249"/>
        <v>98768.57864995522</v>
      </c>
      <c r="M387" s="344">
        <f t="shared" si="249"/>
        <v>99633.388324288011</v>
      </c>
      <c r="N387" s="344">
        <f t="shared" si="249"/>
        <v>100532.29492318121</v>
      </c>
      <c r="O387" s="344">
        <f t="shared" si="249"/>
        <v>101466.4627868164</v>
      </c>
      <c r="P387" s="344">
        <f t="shared" si="249"/>
        <v>102437.09316180633</v>
      </c>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row>
    <row r="388" spans="1:42" ht="15.75" x14ac:dyDescent="0.3">
      <c r="A388" s="6"/>
      <c r="B388" s="6"/>
      <c r="C388" s="6"/>
      <c r="D388" s="6"/>
      <c r="E388" s="6"/>
      <c r="F388" s="6"/>
      <c r="G388" s="12"/>
      <c r="H388" s="12"/>
      <c r="I388" s="12"/>
      <c r="J388" s="12"/>
      <c r="K388" s="12"/>
      <c r="L388" s="12"/>
      <c r="M388" s="12"/>
      <c r="N388" s="12"/>
      <c r="O388" s="12"/>
      <c r="P388" s="12"/>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row>
    <row r="389" spans="1:42" ht="15.75" x14ac:dyDescent="0.3">
      <c r="A389" s="24" t="s">
        <v>65</v>
      </c>
      <c r="B389" s="24"/>
      <c r="C389" s="24"/>
      <c r="D389" s="24"/>
      <c r="E389" s="24"/>
      <c r="F389" s="24"/>
      <c r="G389" s="343">
        <v>3377</v>
      </c>
      <c r="H389" s="343">
        <v>4262</v>
      </c>
      <c r="I389" s="344">
        <f t="shared" ref="I389:P389" si="250">H389+I337</f>
        <v>3420.7748484436033</v>
      </c>
      <c r="J389" s="344">
        <f t="shared" ca="1" si="250"/>
        <v>4277.4299026280196</v>
      </c>
      <c r="K389" s="344">
        <f t="shared" ca="1" si="250"/>
        <v>6434.9700150876888</v>
      </c>
      <c r="L389" s="344">
        <f t="shared" ca="1" si="250"/>
        <v>9972.6311824639524</v>
      </c>
      <c r="M389" s="344">
        <f t="shared" ca="1" si="250"/>
        <v>14930.071068062276</v>
      </c>
      <c r="N389" s="344">
        <f t="shared" ca="1" si="250"/>
        <v>21313.594497428177</v>
      </c>
      <c r="O389" s="344">
        <f t="shared" ca="1" si="250"/>
        <v>29171.135252828641</v>
      </c>
      <c r="P389" s="344">
        <f t="shared" ca="1" si="250"/>
        <v>38563.078133648174</v>
      </c>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row>
    <row r="390" spans="1:42" ht="15.75" x14ac:dyDescent="0.3">
      <c r="A390" s="6"/>
      <c r="B390" s="6"/>
      <c r="C390" s="6"/>
      <c r="D390" s="6"/>
      <c r="E390" s="6"/>
      <c r="F390" s="6"/>
      <c r="G390" s="12"/>
      <c r="H390" s="12"/>
      <c r="I390" s="12"/>
      <c r="J390" s="12"/>
      <c r="K390" s="12"/>
      <c r="L390" s="12"/>
      <c r="M390" s="12"/>
      <c r="N390" s="12"/>
      <c r="O390" s="12"/>
      <c r="P390" s="12"/>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row>
    <row r="391" spans="1:42" ht="15.75" x14ac:dyDescent="0.3">
      <c r="A391" s="6" t="s">
        <v>33</v>
      </c>
      <c r="B391" s="6"/>
      <c r="C391" s="6"/>
      <c r="D391" s="6"/>
      <c r="E391" s="6"/>
      <c r="F391" s="6"/>
      <c r="G391" s="12">
        <f t="shared" ref="G391:P391" si="251">G374-G387-G389</f>
        <v>0</v>
      </c>
      <c r="H391" s="12">
        <f t="shared" si="251"/>
        <v>0.11599999999452848</v>
      </c>
      <c r="I391" s="12">
        <f t="shared" si="251"/>
        <v>0</v>
      </c>
      <c r="J391" s="12">
        <f t="shared" ca="1" si="251"/>
        <v>0</v>
      </c>
      <c r="K391" s="12">
        <f t="shared" ca="1" si="251"/>
        <v>0</v>
      </c>
      <c r="L391" s="12">
        <f t="shared" ca="1" si="251"/>
        <v>0</v>
      </c>
      <c r="M391" s="12">
        <f t="shared" ca="1" si="251"/>
        <v>0</v>
      </c>
      <c r="N391" s="12">
        <f t="shared" ca="1" si="251"/>
        <v>0</v>
      </c>
      <c r="O391" s="12">
        <f t="shared" ca="1" si="251"/>
        <v>0</v>
      </c>
      <c r="P391" s="12">
        <f t="shared" ca="1" si="251"/>
        <v>0</v>
      </c>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row>
    <row r="392" spans="1:42" ht="15.75" x14ac:dyDescent="0.3">
      <c r="A392" s="6"/>
      <c r="B392" s="6"/>
      <c r="C392" s="6"/>
      <c r="D392" s="6"/>
      <c r="E392" s="6"/>
      <c r="F392" s="6"/>
      <c r="G392" s="12"/>
      <c r="H392" s="12"/>
      <c r="I392" s="12"/>
      <c r="J392" s="12"/>
      <c r="K392" s="12"/>
      <c r="L392" s="12"/>
      <c r="M392" s="12"/>
      <c r="N392" s="12"/>
      <c r="O392" s="12"/>
      <c r="P392" s="12"/>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row>
    <row r="393" spans="1:42" ht="15.75" x14ac:dyDescent="0.3">
      <c r="A393" s="6" t="s">
        <v>234</v>
      </c>
      <c r="B393" s="6"/>
      <c r="C393" s="6"/>
      <c r="D393" s="6"/>
      <c r="E393" s="6"/>
      <c r="F393" s="6"/>
      <c r="G393" s="12">
        <f>G371</f>
        <v>15521</v>
      </c>
      <c r="H393" s="12">
        <f>H371</f>
        <v>12073</v>
      </c>
      <c r="I393" s="12">
        <f t="shared" ref="I393:P393" si="252">I394*AVERAGE(H21:I21)</f>
        <v>13831.167970775396</v>
      </c>
      <c r="J393" s="12">
        <f t="shared" si="252"/>
        <v>16028.994595333492</v>
      </c>
      <c r="K393" s="12">
        <f t="shared" si="252"/>
        <v>17180.433566980908</v>
      </c>
      <c r="L393" s="12">
        <f t="shared" si="252"/>
        <v>18216.202919648244</v>
      </c>
      <c r="M393" s="12">
        <f t="shared" si="252"/>
        <v>19293.022968969581</v>
      </c>
      <c r="N393" s="12">
        <f t="shared" si="252"/>
        <v>20412.298893932202</v>
      </c>
      <c r="O393" s="12">
        <f t="shared" si="252"/>
        <v>21575.48047578735</v>
      </c>
      <c r="P393" s="12">
        <f t="shared" si="252"/>
        <v>22784.063449926547</v>
      </c>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row>
    <row r="394" spans="1:42" ht="15.75" x14ac:dyDescent="0.3">
      <c r="A394" s="233" t="s">
        <v>289</v>
      </c>
      <c r="B394" s="6"/>
      <c r="C394" s="6"/>
      <c r="D394" s="6"/>
      <c r="E394" s="6"/>
      <c r="F394" s="6"/>
      <c r="G394" s="14">
        <f>G393/AVERAGE(G$21)</f>
        <v>0.53355104847026469</v>
      </c>
      <c r="H394" s="14">
        <f>H393/AVERAGE(H$21)</f>
        <v>0.4064846301471331</v>
      </c>
      <c r="I394" s="14">
        <f t="shared" ref="I394:P394" si="253">(1+H395)*H394</f>
        <v>0.42680886165448978</v>
      </c>
      <c r="J394" s="14">
        <f t="shared" si="253"/>
        <v>0.44388121612066939</v>
      </c>
      <c r="K394" s="14">
        <f t="shared" si="253"/>
        <v>0.45497824652368607</v>
      </c>
      <c r="L394" s="14">
        <f t="shared" si="253"/>
        <v>0.4663527026867782</v>
      </c>
      <c r="M394" s="14">
        <f t="shared" si="253"/>
        <v>0.47801152025394761</v>
      </c>
      <c r="N394" s="14">
        <f t="shared" si="253"/>
        <v>0.48996180826029628</v>
      </c>
      <c r="O394" s="14">
        <f t="shared" si="253"/>
        <v>0.50221085346680361</v>
      </c>
      <c r="P394" s="14">
        <f t="shared" si="253"/>
        <v>0.51476612480347361</v>
      </c>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row>
    <row r="395" spans="1:42" ht="15.75" x14ac:dyDescent="0.3">
      <c r="A395" s="245" t="s">
        <v>290</v>
      </c>
      <c r="B395" s="6"/>
      <c r="C395" s="6"/>
      <c r="D395" s="6"/>
      <c r="E395" s="6"/>
      <c r="F395" s="6"/>
      <c r="G395" s="15">
        <f>G$249</f>
        <v>0.04</v>
      </c>
      <c r="H395" s="15">
        <f t="shared" ref="H395:P395" si="254">H249</f>
        <v>0.05</v>
      </c>
      <c r="I395" s="15">
        <f t="shared" si="254"/>
        <v>0.04</v>
      </c>
      <c r="J395" s="15">
        <f t="shared" si="254"/>
        <v>2.5000000000000001E-2</v>
      </c>
      <c r="K395" s="15">
        <f t="shared" si="254"/>
        <v>2.5000000000000001E-2</v>
      </c>
      <c r="L395" s="15">
        <f t="shared" si="254"/>
        <v>2.5000000000000001E-2</v>
      </c>
      <c r="M395" s="15">
        <f t="shared" si="254"/>
        <v>2.5000000000000001E-2</v>
      </c>
      <c r="N395" s="15">
        <f t="shared" si="254"/>
        <v>2.5000000000000001E-2</v>
      </c>
      <c r="O395" s="15">
        <f t="shared" si="254"/>
        <v>2.5000000000000001E-2</v>
      </c>
      <c r="P395" s="15">
        <f t="shared" si="254"/>
        <v>2.5000000000000001E-2</v>
      </c>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row>
    <row r="396" spans="1:42" ht="15.75" x14ac:dyDescent="0.3">
      <c r="A396" s="245"/>
      <c r="B396" s="6"/>
      <c r="C396" s="6"/>
      <c r="D396" s="6"/>
      <c r="E396" s="6"/>
      <c r="F396" s="6"/>
      <c r="G396" s="15"/>
      <c r="H396" s="15"/>
      <c r="I396" s="15"/>
      <c r="J396" s="15"/>
      <c r="K396" s="15"/>
      <c r="L396" s="15"/>
      <c r="M396" s="15"/>
      <c r="N396" s="15"/>
      <c r="O396" s="15"/>
      <c r="P396" s="15"/>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row>
    <row r="397" spans="1:42" ht="15.75" x14ac:dyDescent="0.3">
      <c r="A397" s="6" t="s">
        <v>291</v>
      </c>
      <c r="B397" s="6"/>
      <c r="C397" s="6"/>
      <c r="D397" s="6"/>
      <c r="E397" s="6"/>
      <c r="F397" s="6"/>
      <c r="G397" s="12">
        <f>G383</f>
        <v>12285</v>
      </c>
      <c r="H397" s="12">
        <f>H383</f>
        <v>9696</v>
      </c>
      <c r="I397" s="12">
        <f t="shared" ref="I397:P397" si="255">I398*AVERAGE(H$21:I$21)</f>
        <v>11108.009992929532</v>
      </c>
      <c r="J397" s="12">
        <f t="shared" si="255"/>
        <v>12873.116176290361</v>
      </c>
      <c r="K397" s="12">
        <f t="shared" si="255"/>
        <v>13797.853380721188</v>
      </c>
      <c r="L397" s="12">
        <f t="shared" si="255"/>
        <v>14629.69464995522</v>
      </c>
      <c r="M397" s="12">
        <f t="shared" si="255"/>
        <v>15494.504324288004</v>
      </c>
      <c r="N397" s="12">
        <f t="shared" si="255"/>
        <v>16393.410923181204</v>
      </c>
      <c r="O397" s="12">
        <f t="shared" si="255"/>
        <v>17327.578786816382</v>
      </c>
      <c r="P397" s="12">
        <f t="shared" si="255"/>
        <v>18298.209161806331</v>
      </c>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row>
    <row r="398" spans="1:42" ht="15.75" x14ac:dyDescent="0.3">
      <c r="A398" s="233" t="s">
        <v>289</v>
      </c>
      <c r="B398" s="6"/>
      <c r="C398" s="6"/>
      <c r="D398" s="6"/>
      <c r="E398" s="6"/>
      <c r="F398" s="6"/>
      <c r="G398" s="14">
        <f>G397/AVERAGE(G$21)</f>
        <v>0.42231007218975591</v>
      </c>
      <c r="H398" s="14">
        <f>H397/AVERAGE(H$21)</f>
        <v>0.32645365475909904</v>
      </c>
      <c r="I398" s="14">
        <f t="shared" ref="I398:P398" si="256">(1+H399)*H398</f>
        <v>0.342776337497054</v>
      </c>
      <c r="J398" s="14">
        <f t="shared" si="256"/>
        <v>0.35648739099693616</v>
      </c>
      <c r="K398" s="14">
        <f t="shared" si="256"/>
        <v>0.36539957577185955</v>
      </c>
      <c r="L398" s="14">
        <f t="shared" si="256"/>
        <v>0.37453456516615602</v>
      </c>
      <c r="M398" s="14">
        <f t="shared" si="256"/>
        <v>0.38389792929530991</v>
      </c>
      <c r="N398" s="14">
        <f t="shared" si="256"/>
        <v>0.39349537752769265</v>
      </c>
      <c r="O398" s="14">
        <f t="shared" si="256"/>
        <v>0.40333276196588491</v>
      </c>
      <c r="P398" s="14">
        <f t="shared" si="256"/>
        <v>0.41341608101503202</v>
      </c>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row>
    <row r="399" spans="1:42" ht="15.75" x14ac:dyDescent="0.3">
      <c r="A399" s="245" t="s">
        <v>290</v>
      </c>
      <c r="B399" s="6"/>
      <c r="C399" s="6"/>
      <c r="D399" s="6"/>
      <c r="E399" s="6"/>
      <c r="F399" s="6"/>
      <c r="G399" s="15">
        <f>G$249</f>
        <v>0.04</v>
      </c>
      <c r="H399" s="15">
        <f>H$249</f>
        <v>0.05</v>
      </c>
      <c r="I399" s="15">
        <f t="shared" ref="I399:P399" si="257">I$249</f>
        <v>0.04</v>
      </c>
      <c r="J399" s="15">
        <f t="shared" si="257"/>
        <v>2.5000000000000001E-2</v>
      </c>
      <c r="K399" s="15">
        <f t="shared" si="257"/>
        <v>2.5000000000000001E-2</v>
      </c>
      <c r="L399" s="15">
        <f t="shared" si="257"/>
        <v>2.5000000000000001E-2</v>
      </c>
      <c r="M399" s="15">
        <f t="shared" si="257"/>
        <v>2.5000000000000001E-2</v>
      </c>
      <c r="N399" s="15">
        <f t="shared" si="257"/>
        <v>2.5000000000000001E-2</v>
      </c>
      <c r="O399" s="15">
        <f t="shared" si="257"/>
        <v>2.5000000000000001E-2</v>
      </c>
      <c r="P399" s="15">
        <f t="shared" si="257"/>
        <v>2.5000000000000001E-2</v>
      </c>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row>
    <row r="400" spans="1:42" ht="15.75" x14ac:dyDescent="0.3">
      <c r="A400" s="245"/>
      <c r="B400" s="6"/>
      <c r="C400" s="6"/>
      <c r="D400" s="6"/>
      <c r="E400" s="6"/>
      <c r="F400" s="6"/>
      <c r="G400" s="15"/>
      <c r="H400" s="15"/>
      <c r="I400" s="15"/>
      <c r="J400" s="15"/>
      <c r="K400" s="15"/>
      <c r="L400" s="15"/>
      <c r="M400" s="15"/>
      <c r="N400" s="15"/>
      <c r="O400" s="15"/>
      <c r="P400" s="15"/>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row>
    <row r="401" spans="1:42" ht="15.75" x14ac:dyDescent="0.3">
      <c r="A401" s="6"/>
      <c r="B401" s="6"/>
      <c r="C401" s="6"/>
      <c r="D401" s="6"/>
      <c r="E401" s="6"/>
      <c r="F401" s="6"/>
      <c r="G401" s="12"/>
      <c r="H401" s="12"/>
      <c r="I401" s="12"/>
      <c r="J401" s="12"/>
      <c r="K401" s="12"/>
      <c r="L401" s="12"/>
      <c r="M401" s="12"/>
      <c r="N401" s="12"/>
      <c r="O401" s="12"/>
      <c r="P401" s="12"/>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row>
    <row r="402" spans="1:42" ht="15.75" x14ac:dyDescent="0.3">
      <c r="A402" s="248" t="s">
        <v>533</v>
      </c>
      <c r="B402" s="6"/>
      <c r="C402" s="6"/>
      <c r="D402" s="6"/>
      <c r="E402" s="6"/>
      <c r="F402" s="6"/>
      <c r="G402" s="345"/>
      <c r="H402" s="345">
        <f>H303-H346+H327</f>
        <v>5374.54</v>
      </c>
      <c r="I402" s="345">
        <f t="shared" ref="I402:P402" si="258">I303-I346+I327</f>
        <v>2894.8576232891301</v>
      </c>
      <c r="J402" s="345">
        <f ca="1">J303-J346+J327</f>
        <v>4436.1103813680402</v>
      </c>
      <c r="K402" s="345">
        <f t="shared" ca="1" si="258"/>
        <v>5781.6413413504233</v>
      </c>
      <c r="L402" s="345">
        <f t="shared" ca="1" si="258"/>
        <v>5977.053654050047</v>
      </c>
      <c r="M402" s="345">
        <f t="shared" ca="1" si="258"/>
        <v>6187.1529985400502</v>
      </c>
      <c r="N402" s="345">
        <f t="shared" ca="1" si="258"/>
        <v>6409.6352122035714</v>
      </c>
      <c r="O402" s="345">
        <f t="shared" ca="1" si="258"/>
        <v>6675.0761513110156</v>
      </c>
      <c r="P402" s="345">
        <f t="shared" ca="1" si="258"/>
        <v>6981.9612609819696</v>
      </c>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row>
    <row r="403" spans="1:42" ht="15.75" x14ac:dyDescent="0.3">
      <c r="A403" s="6"/>
      <c r="B403" s="6"/>
      <c r="C403" s="6"/>
      <c r="D403" s="6"/>
      <c r="E403" s="6"/>
      <c r="F403" s="6"/>
      <c r="G403" s="12"/>
      <c r="H403" s="12"/>
      <c r="I403" s="12"/>
      <c r="J403" s="21">
        <f ca="1">J402/J303</f>
        <v>0.55473278931900172</v>
      </c>
      <c r="K403" s="21">
        <f t="shared" ref="K403:P403" ca="1" si="259">K402/K303</f>
        <v>0.6552969219119178</v>
      </c>
      <c r="L403" s="21">
        <f t="shared" ca="1" si="259"/>
        <v>0.61971210811943833</v>
      </c>
      <c r="M403" s="21">
        <f t="shared" ca="1" si="259"/>
        <v>0.58692875065295758</v>
      </c>
      <c r="N403" s="21">
        <f t="shared" ca="1" si="259"/>
        <v>0.55958167800833492</v>
      </c>
      <c r="O403" s="21">
        <f t="shared" ca="1" si="259"/>
        <v>0.53689754587997784</v>
      </c>
      <c r="P403" s="21">
        <f t="shared" ca="1" si="259"/>
        <v>0.51791968299844326</v>
      </c>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row>
    <row r="404" spans="1:42" ht="15.75" x14ac:dyDescent="0.3">
      <c r="A404" s="6"/>
      <c r="B404" s="6"/>
      <c r="C404" s="6"/>
      <c r="D404" s="6"/>
      <c r="E404" s="6"/>
      <c r="F404" s="6"/>
      <c r="G404" s="12"/>
      <c r="H404" s="12"/>
      <c r="I404" s="12"/>
      <c r="J404" s="12"/>
      <c r="K404" s="12"/>
      <c r="L404" s="12"/>
      <c r="M404" s="12"/>
      <c r="N404" s="12"/>
      <c r="O404" s="12"/>
      <c r="P404" s="12"/>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row>
    <row r="405" spans="1:42" ht="15.75" x14ac:dyDescent="0.3">
      <c r="A405" s="248" t="s">
        <v>448</v>
      </c>
      <c r="B405" s="6"/>
      <c r="C405" s="6"/>
      <c r="D405" s="6"/>
      <c r="E405" s="6"/>
      <c r="F405" s="6"/>
      <c r="G405" s="329">
        <v>3189.4</v>
      </c>
      <c r="H405" s="329">
        <v>3189.4</v>
      </c>
      <c r="I405" s="12">
        <f>H405</f>
        <v>3189.4</v>
      </c>
      <c r="J405" s="12">
        <f t="shared" ref="J405:P405" si="260">I405</f>
        <v>3189.4</v>
      </c>
      <c r="K405" s="12">
        <f t="shared" si="260"/>
        <v>3189.4</v>
      </c>
      <c r="L405" s="12">
        <f t="shared" si="260"/>
        <v>3189.4</v>
      </c>
      <c r="M405" s="12">
        <f t="shared" si="260"/>
        <v>3189.4</v>
      </c>
      <c r="N405" s="12">
        <f t="shared" si="260"/>
        <v>3189.4</v>
      </c>
      <c r="O405" s="12">
        <f t="shared" si="260"/>
        <v>3189.4</v>
      </c>
      <c r="P405" s="12">
        <f t="shared" si="260"/>
        <v>3189.4</v>
      </c>
      <c r="Q405" s="271"/>
      <c r="R405" s="271"/>
      <c r="S405" s="271"/>
      <c r="T405" s="271"/>
      <c r="U405" s="271"/>
      <c r="V405" s="271"/>
      <c r="W405" s="271"/>
      <c r="X405" s="271"/>
      <c r="Y405" s="271"/>
      <c r="Z405" s="271"/>
      <c r="AA405" s="271"/>
      <c r="AB405" s="6"/>
      <c r="AC405" s="6"/>
      <c r="AD405" s="6"/>
      <c r="AE405" s="6"/>
      <c r="AF405" s="6"/>
      <c r="AG405" s="6"/>
      <c r="AH405" s="6"/>
      <c r="AI405" s="6"/>
      <c r="AJ405" s="6"/>
      <c r="AK405" s="6"/>
      <c r="AL405" s="6"/>
      <c r="AM405" s="6"/>
      <c r="AN405" s="6"/>
      <c r="AO405" s="6"/>
      <c r="AP405" s="6"/>
    </row>
    <row r="406" spans="1:42" ht="15.75" x14ac:dyDescent="0.3">
      <c r="A406" s="248" t="s">
        <v>449</v>
      </c>
      <c r="B406" s="6"/>
      <c r="C406" s="6"/>
      <c r="D406" s="6"/>
      <c r="E406" s="6"/>
      <c r="F406" s="6"/>
      <c r="G406" s="12">
        <f>G405*$B$456</f>
        <v>22931.786000000004</v>
      </c>
      <c r="H406" s="12">
        <f t="shared" ref="H406:P406" si="261">H405*$B$456</f>
        <v>22931.786000000004</v>
      </c>
      <c r="I406" s="12">
        <f t="shared" si="261"/>
        <v>22931.786000000004</v>
      </c>
      <c r="J406" s="12">
        <f t="shared" si="261"/>
        <v>22931.786000000004</v>
      </c>
      <c r="K406" s="12">
        <f t="shared" si="261"/>
        <v>22931.786000000004</v>
      </c>
      <c r="L406" s="12">
        <f t="shared" si="261"/>
        <v>22931.786000000004</v>
      </c>
      <c r="M406" s="12">
        <f t="shared" si="261"/>
        <v>22931.786000000004</v>
      </c>
      <c r="N406" s="12">
        <f t="shared" si="261"/>
        <v>22931.786000000004</v>
      </c>
      <c r="O406" s="12">
        <f t="shared" si="261"/>
        <v>22931.786000000004</v>
      </c>
      <c r="P406" s="12">
        <f t="shared" si="261"/>
        <v>22931.786000000004</v>
      </c>
      <c r="Q406" s="271"/>
      <c r="R406" s="271"/>
      <c r="S406" s="271"/>
      <c r="T406" s="271"/>
      <c r="U406" s="271"/>
      <c r="V406" s="271"/>
      <c r="W406" s="271"/>
      <c r="X406" s="271"/>
      <c r="Y406" s="271"/>
      <c r="Z406" s="271"/>
      <c r="AA406" s="271"/>
      <c r="AB406" s="6"/>
      <c r="AC406" s="6"/>
      <c r="AD406" s="6"/>
      <c r="AE406" s="6"/>
      <c r="AF406" s="6"/>
      <c r="AG406" s="6"/>
      <c r="AH406" s="6"/>
      <c r="AI406" s="6"/>
      <c r="AJ406" s="6"/>
      <c r="AK406" s="6"/>
      <c r="AL406" s="6"/>
      <c r="AM406" s="6"/>
      <c r="AN406" s="6"/>
      <c r="AO406" s="6"/>
      <c r="AP406" s="6"/>
    </row>
    <row r="407" spans="1:42" ht="15.75" x14ac:dyDescent="0.3">
      <c r="A407" s="248" t="s">
        <v>50</v>
      </c>
      <c r="B407" s="6"/>
      <c r="C407" s="6"/>
      <c r="D407" s="6"/>
      <c r="E407" s="6"/>
      <c r="F407" s="6"/>
      <c r="G407" s="12">
        <f>G340</f>
        <v>47502</v>
      </c>
      <c r="H407" s="12">
        <f>H340</f>
        <v>44370.883999999998</v>
      </c>
      <c r="I407" s="12">
        <f t="shared" ref="I407:P407" si="262">I340</f>
        <v>52806.02637671087</v>
      </c>
      <c r="J407" s="12">
        <f t="shared" ca="1" si="262"/>
        <v>52585.580260845061</v>
      </c>
      <c r="K407" s="12">
        <f t="shared" ca="1" si="262"/>
        <v>50945.168885342129</v>
      </c>
      <c r="L407" s="12">
        <f t="shared" ca="1" si="262"/>
        <v>48964.50206948517</v>
      </c>
      <c r="M407" s="12">
        <f t="shared" ca="1" si="262"/>
        <v>46599.92620179637</v>
      </c>
      <c r="N407" s="12">
        <f t="shared" ca="1" si="262"/>
        <v>43806.550039233727</v>
      </c>
      <c r="O407" s="12">
        <f t="shared" ca="1" si="262"/>
        <v>40503.891551551838</v>
      </c>
      <c r="P407" s="12">
        <f t="shared" ca="1" si="262"/>
        <v>36606.339533977865</v>
      </c>
      <c r="Q407" s="271"/>
      <c r="R407" s="271"/>
      <c r="S407" s="271"/>
      <c r="T407" s="271"/>
      <c r="U407" s="271"/>
      <c r="V407" s="271"/>
      <c r="W407" s="271"/>
      <c r="X407" s="271"/>
      <c r="Y407" s="271"/>
      <c r="Z407" s="271"/>
      <c r="AA407" s="271"/>
      <c r="AB407" s="6"/>
      <c r="AC407" s="6"/>
      <c r="AD407" s="6"/>
      <c r="AE407" s="6"/>
      <c r="AF407" s="6"/>
      <c r="AG407" s="6"/>
      <c r="AH407" s="6"/>
      <c r="AI407" s="6"/>
      <c r="AJ407" s="6"/>
      <c r="AK407" s="6"/>
      <c r="AL407" s="6"/>
      <c r="AM407" s="6"/>
      <c r="AN407" s="6"/>
      <c r="AO407" s="6"/>
      <c r="AP407" s="6"/>
    </row>
    <row r="408" spans="1:42" ht="15.75" x14ac:dyDescent="0.3">
      <c r="A408" s="284" t="s">
        <v>450</v>
      </c>
      <c r="B408" s="24"/>
      <c r="C408" s="24"/>
      <c r="D408" s="24"/>
      <c r="E408" s="24"/>
      <c r="F408" s="24"/>
      <c r="G408" s="269">
        <f ca="1">B443</f>
        <v>1353.3272402552245</v>
      </c>
      <c r="H408" s="269">
        <f ca="1">G408</f>
        <v>1353.3272402552245</v>
      </c>
      <c r="I408" s="269">
        <f t="shared" ref="I408:P408" ca="1" si="263">H408</f>
        <v>1353.3272402552245</v>
      </c>
      <c r="J408" s="269">
        <f t="shared" ca="1" si="263"/>
        <v>1353.3272402552245</v>
      </c>
      <c r="K408" s="269">
        <f t="shared" ca="1" si="263"/>
        <v>1353.3272402552245</v>
      </c>
      <c r="L408" s="269">
        <f t="shared" ca="1" si="263"/>
        <v>1353.3272402552245</v>
      </c>
      <c r="M408" s="269">
        <f t="shared" ca="1" si="263"/>
        <v>1353.3272402552245</v>
      </c>
      <c r="N408" s="269">
        <f t="shared" ca="1" si="263"/>
        <v>1353.3272402552245</v>
      </c>
      <c r="O408" s="269">
        <f t="shared" ca="1" si="263"/>
        <v>1353.3272402552245</v>
      </c>
      <c r="P408" s="269">
        <f t="shared" ca="1" si="263"/>
        <v>1353.3272402552245</v>
      </c>
      <c r="Q408" s="271"/>
      <c r="R408" s="271"/>
      <c r="S408" s="271"/>
      <c r="T408" s="271"/>
      <c r="U408" s="271"/>
      <c r="V408" s="271"/>
      <c r="W408" s="271"/>
      <c r="X408" s="271"/>
      <c r="Y408" s="271"/>
      <c r="Z408" s="271"/>
      <c r="AA408" s="271"/>
      <c r="AB408" s="6"/>
      <c r="AC408" s="6"/>
      <c r="AD408" s="6"/>
      <c r="AE408" s="6"/>
      <c r="AF408" s="6"/>
      <c r="AG408" s="6"/>
      <c r="AH408" s="6"/>
      <c r="AI408" s="6"/>
      <c r="AJ408" s="6"/>
      <c r="AK408" s="6"/>
      <c r="AL408" s="6"/>
      <c r="AM408" s="6"/>
      <c r="AN408" s="6"/>
      <c r="AO408" s="6"/>
      <c r="AP408" s="6"/>
    </row>
    <row r="409" spans="1:42" ht="15.75" x14ac:dyDescent="0.3">
      <c r="A409" s="248" t="s">
        <v>504</v>
      </c>
      <c r="B409" s="6"/>
      <c r="C409" s="6"/>
      <c r="D409" s="6"/>
      <c r="E409" s="6"/>
      <c r="F409" s="6"/>
      <c r="G409" s="271">
        <f ca="1">G406+G407+G408</f>
        <v>71787.113240255232</v>
      </c>
      <c r="H409" s="271">
        <f t="shared" ref="H409:P409" ca="1" si="264">H406+H407+H408</f>
        <v>68655.997240255223</v>
      </c>
      <c r="I409" s="271">
        <f t="shared" ca="1" si="264"/>
        <v>77091.139616966102</v>
      </c>
      <c r="J409" s="271">
        <f t="shared" ca="1" si="264"/>
        <v>76870.693501100293</v>
      </c>
      <c r="K409" s="271">
        <f t="shared" ca="1" si="264"/>
        <v>75230.282125597354</v>
      </c>
      <c r="L409" s="271">
        <f t="shared" ca="1" si="264"/>
        <v>73249.615309740402</v>
      </c>
      <c r="M409" s="271">
        <f t="shared" ca="1" si="264"/>
        <v>70885.039442051595</v>
      </c>
      <c r="N409" s="271">
        <f t="shared" ca="1" si="264"/>
        <v>68091.663279488959</v>
      </c>
      <c r="O409" s="271">
        <f t="shared" ca="1" si="264"/>
        <v>64789.004791807063</v>
      </c>
      <c r="P409" s="271">
        <f t="shared" ca="1" si="264"/>
        <v>60891.452774233097</v>
      </c>
      <c r="Q409" s="271"/>
      <c r="R409" s="271"/>
      <c r="S409" s="271"/>
      <c r="T409" s="271"/>
      <c r="U409" s="271"/>
      <c r="V409" s="271"/>
      <c r="W409" s="271"/>
      <c r="X409" s="271"/>
      <c r="Y409" s="271"/>
      <c r="Z409" s="271"/>
      <c r="AA409" s="271"/>
      <c r="AB409" s="6"/>
      <c r="AC409" s="6"/>
      <c r="AD409" s="6"/>
      <c r="AE409" s="6"/>
      <c r="AF409" s="6"/>
      <c r="AG409" s="6"/>
      <c r="AH409" s="6"/>
      <c r="AI409" s="6"/>
      <c r="AJ409" s="6"/>
      <c r="AK409" s="6"/>
      <c r="AL409" s="6"/>
      <c r="AM409" s="6"/>
      <c r="AN409" s="6"/>
      <c r="AO409" s="6"/>
      <c r="AP409" s="6"/>
    </row>
    <row r="410" spans="1:42" ht="15.75" x14ac:dyDescent="0.3">
      <c r="A410" s="248" t="s">
        <v>452</v>
      </c>
      <c r="B410" s="6"/>
      <c r="C410" s="6"/>
      <c r="D410" s="6"/>
      <c r="E410" s="6"/>
      <c r="F410" s="6"/>
      <c r="G410" s="12">
        <f t="shared" ref="G410:P410" ca="1" si="265">G409/$H$176</f>
        <v>3559.1032840979287</v>
      </c>
      <c r="H410" s="12">
        <f t="shared" ca="1" si="265"/>
        <v>3403.8669925758659</v>
      </c>
      <c r="I410" s="12">
        <f t="shared" ca="1" si="265"/>
        <v>3822.0693910245959</v>
      </c>
      <c r="J410" s="12">
        <f t="shared" ca="1" si="265"/>
        <v>3811.1399851809761</v>
      </c>
      <c r="K410" s="12">
        <f t="shared" ca="1" si="265"/>
        <v>3729.8107152006619</v>
      </c>
      <c r="L410" s="12">
        <f t="shared" ca="1" si="265"/>
        <v>3631.6120629519282</v>
      </c>
      <c r="M410" s="12">
        <f t="shared" ca="1" si="265"/>
        <v>3514.3797442762316</v>
      </c>
      <c r="N410" s="12">
        <f t="shared" ca="1" si="265"/>
        <v>3375.8881149969734</v>
      </c>
      <c r="O410" s="12">
        <f t="shared" ca="1" si="265"/>
        <v>3212.1469901738751</v>
      </c>
      <c r="P410" s="12">
        <f t="shared" ca="1" si="265"/>
        <v>3018.9118876664893</v>
      </c>
      <c r="Q410" s="271"/>
      <c r="R410" s="271"/>
      <c r="S410" s="271"/>
      <c r="T410" s="271"/>
      <c r="U410" s="271"/>
      <c r="V410" s="271"/>
      <c r="W410" s="271"/>
      <c r="X410" s="271"/>
      <c r="Y410" s="271"/>
      <c r="Z410" s="271"/>
      <c r="AA410" s="271"/>
      <c r="AB410" s="6"/>
      <c r="AC410" s="6"/>
      <c r="AD410" s="6"/>
      <c r="AE410" s="6"/>
      <c r="AF410" s="6"/>
      <c r="AG410" s="6"/>
      <c r="AH410" s="6"/>
      <c r="AI410" s="6"/>
      <c r="AJ410" s="6"/>
      <c r="AK410" s="6"/>
      <c r="AL410" s="6"/>
      <c r="AM410" s="6"/>
      <c r="AN410" s="6"/>
      <c r="AO410" s="6"/>
      <c r="AP410" s="6"/>
    </row>
    <row r="411" spans="1:42" ht="15.75" x14ac:dyDescent="0.3">
      <c r="A411" s="248"/>
      <c r="B411" s="6"/>
      <c r="C411" s="6"/>
      <c r="D411" s="6"/>
      <c r="E411" s="6"/>
      <c r="F411" s="6"/>
      <c r="G411" s="12"/>
      <c r="H411" s="12"/>
      <c r="I411" s="12"/>
      <c r="J411" s="12"/>
      <c r="K411" s="12"/>
      <c r="L411" s="12"/>
      <c r="M411" s="12"/>
      <c r="N411" s="12"/>
      <c r="O411" s="12"/>
      <c r="P411" s="12"/>
      <c r="Q411" s="271"/>
      <c r="R411" s="271"/>
      <c r="S411" s="271"/>
      <c r="T411" s="271"/>
      <c r="U411" s="271"/>
      <c r="V411" s="271"/>
      <c r="W411" s="271"/>
      <c r="X411" s="271"/>
      <c r="Y411" s="271"/>
      <c r="Z411" s="271"/>
      <c r="AA411" s="271"/>
      <c r="AB411" s="6"/>
      <c r="AC411" s="6"/>
      <c r="AD411" s="6"/>
      <c r="AE411" s="6"/>
      <c r="AF411" s="6"/>
      <c r="AG411" s="6"/>
      <c r="AH411" s="6"/>
      <c r="AI411" s="6"/>
      <c r="AJ411" s="6"/>
      <c r="AK411" s="6"/>
      <c r="AL411" s="6"/>
      <c r="AM411" s="6"/>
      <c r="AN411" s="6"/>
      <c r="AO411" s="6"/>
      <c r="AP411" s="6"/>
    </row>
    <row r="412" spans="1:42" ht="15.75" x14ac:dyDescent="0.3">
      <c r="A412" s="248" t="s">
        <v>524</v>
      </c>
      <c r="B412" s="6"/>
      <c r="C412" s="6"/>
      <c r="D412" s="6"/>
      <c r="E412" s="6"/>
      <c r="F412" s="6"/>
      <c r="G412" s="12">
        <f>G377+G383</f>
        <v>15583</v>
      </c>
      <c r="H412" s="12">
        <f t="shared" ref="H412:P412" si="266">H377+H383</f>
        <v>13099</v>
      </c>
      <c r="I412" s="12">
        <f t="shared" si="266"/>
        <v>12408.009992929532</v>
      </c>
      <c r="J412" s="12">
        <f t="shared" si="266"/>
        <v>14173.116176290361</v>
      </c>
      <c r="K412" s="12">
        <f t="shared" si="266"/>
        <v>15097.853380721188</v>
      </c>
      <c r="L412" s="12">
        <f t="shared" si="266"/>
        <v>15929.69464995522</v>
      </c>
      <c r="M412" s="12">
        <f t="shared" si="266"/>
        <v>16794.504324288006</v>
      </c>
      <c r="N412" s="12">
        <f t="shared" si="266"/>
        <v>17693.410923181204</v>
      </c>
      <c r="O412" s="12">
        <f t="shared" si="266"/>
        <v>18627.578786816382</v>
      </c>
      <c r="P412" s="12">
        <f t="shared" si="266"/>
        <v>19598.209161806331</v>
      </c>
      <c r="Q412" s="271"/>
      <c r="R412" s="271"/>
      <c r="S412" s="271"/>
      <c r="T412" s="271"/>
      <c r="U412" s="271"/>
      <c r="V412" s="271"/>
      <c r="W412" s="271"/>
      <c r="X412" s="271"/>
      <c r="Y412" s="271"/>
      <c r="Z412" s="271"/>
      <c r="AA412" s="271"/>
      <c r="AB412" s="6"/>
      <c r="AC412" s="6"/>
      <c r="AD412" s="6"/>
      <c r="AE412" s="6"/>
      <c r="AF412" s="6"/>
      <c r="AG412" s="6"/>
      <c r="AH412" s="6"/>
      <c r="AI412" s="6"/>
      <c r="AJ412" s="6"/>
      <c r="AK412" s="6"/>
      <c r="AL412" s="6"/>
      <c r="AM412" s="6"/>
      <c r="AN412" s="6"/>
      <c r="AO412" s="6"/>
      <c r="AP412" s="6"/>
    </row>
    <row r="413" spans="1:42" ht="15.75" x14ac:dyDescent="0.3">
      <c r="A413" s="248" t="s">
        <v>451</v>
      </c>
      <c r="B413" s="6"/>
      <c r="C413" s="6"/>
      <c r="D413" s="6"/>
      <c r="E413" s="6"/>
      <c r="F413" s="6"/>
      <c r="G413" s="12">
        <f ca="1">G409+G412</f>
        <v>87370.113240255232</v>
      </c>
      <c r="H413" s="12">
        <f t="shared" ref="H413:P413" ca="1" si="267">H409+H412</f>
        <v>81754.997240255223</v>
      </c>
      <c r="I413" s="12">
        <f t="shared" ca="1" si="267"/>
        <v>89499.149609895627</v>
      </c>
      <c r="J413" s="12">
        <f t="shared" ca="1" si="267"/>
        <v>91043.809677390658</v>
      </c>
      <c r="K413" s="12">
        <f t="shared" ca="1" si="267"/>
        <v>90328.135506318547</v>
      </c>
      <c r="L413" s="12">
        <f t="shared" ca="1" si="267"/>
        <v>89179.309959695616</v>
      </c>
      <c r="M413" s="12">
        <f t="shared" ca="1" si="267"/>
        <v>87679.543766339601</v>
      </c>
      <c r="N413" s="12">
        <f t="shared" ca="1" si="267"/>
        <v>85785.074202670163</v>
      </c>
      <c r="O413" s="12">
        <f t="shared" ca="1" si="267"/>
        <v>83416.583578623453</v>
      </c>
      <c r="P413" s="12">
        <f t="shared" ca="1" si="267"/>
        <v>80489.661936039425</v>
      </c>
      <c r="Q413" s="271"/>
      <c r="R413" s="271"/>
      <c r="S413" s="271"/>
      <c r="T413" s="271"/>
      <c r="U413" s="271"/>
      <c r="V413" s="271"/>
      <c r="W413" s="271"/>
      <c r="X413" s="271"/>
      <c r="Y413" s="271"/>
      <c r="Z413" s="271"/>
      <c r="AA413" s="271"/>
      <c r="AB413" s="6"/>
      <c r="AC413" s="6"/>
      <c r="AD413" s="6"/>
      <c r="AE413" s="6"/>
      <c r="AF413" s="6"/>
      <c r="AG413" s="6"/>
      <c r="AH413" s="6"/>
      <c r="AI413" s="6"/>
      <c r="AJ413" s="6"/>
      <c r="AK413" s="6"/>
      <c r="AL413" s="6"/>
      <c r="AM413" s="6"/>
      <c r="AN413" s="6"/>
      <c r="AO413" s="6"/>
      <c r="AP413" s="6"/>
    </row>
    <row r="414" spans="1:42" ht="15.75" x14ac:dyDescent="0.3">
      <c r="A414" s="248" t="s">
        <v>452</v>
      </c>
      <c r="B414" s="6"/>
      <c r="C414" s="6"/>
      <c r="D414" s="6"/>
      <c r="E414" s="6"/>
      <c r="F414" s="6"/>
      <c r="G414" s="12">
        <f t="shared" ref="G414:P414" ca="1" si="268">G413/$H$176</f>
        <v>4331.6863282228669</v>
      </c>
      <c r="H414" s="12">
        <f t="shared" ca="1" si="268"/>
        <v>4053.2968388822615</v>
      </c>
      <c r="I414" s="12">
        <f t="shared" ca="1" si="268"/>
        <v>4437.2409325679537</v>
      </c>
      <c r="J414" s="12">
        <f t="shared" ca="1" si="268"/>
        <v>4513.8229884675584</v>
      </c>
      <c r="K414" s="12">
        <f t="shared" ca="1" si="268"/>
        <v>4478.3408778541661</v>
      </c>
      <c r="L414" s="12">
        <f t="shared" ca="1" si="268"/>
        <v>4421.3837362268523</v>
      </c>
      <c r="M414" s="12">
        <f t="shared" ca="1" si="268"/>
        <v>4347.0274549499054</v>
      </c>
      <c r="N414" s="12">
        <f t="shared" ca="1" si="268"/>
        <v>4253.1023402414557</v>
      </c>
      <c r="O414" s="12">
        <f t="shared" ca="1" si="268"/>
        <v>4135.6759334964527</v>
      </c>
      <c r="P414" s="12">
        <f t="shared" ca="1" si="268"/>
        <v>3990.5633086782063</v>
      </c>
      <c r="Q414" s="271"/>
      <c r="R414" s="271"/>
      <c r="S414" s="271"/>
      <c r="T414" s="271"/>
      <c r="U414" s="271"/>
      <c r="V414" s="271"/>
      <c r="W414" s="271"/>
      <c r="X414" s="271"/>
      <c r="Y414" s="271"/>
      <c r="Z414" s="271"/>
      <c r="AA414" s="271"/>
      <c r="AB414" s="6"/>
      <c r="AC414" s="6"/>
      <c r="AD414" s="6"/>
      <c r="AE414" s="6"/>
      <c r="AF414" s="6"/>
      <c r="AG414" s="6"/>
      <c r="AH414" s="6"/>
      <c r="AI414" s="6"/>
      <c r="AJ414" s="6"/>
      <c r="AK414" s="6"/>
      <c r="AL414" s="6"/>
      <c r="AM414" s="6"/>
      <c r="AN414" s="6"/>
      <c r="AO414" s="6"/>
      <c r="AP414" s="6"/>
    </row>
    <row r="415" spans="1:42" ht="15.75" x14ac:dyDescent="0.3">
      <c r="A415" s="248"/>
      <c r="B415" s="6"/>
      <c r="C415" s="6"/>
      <c r="D415" s="6"/>
      <c r="E415" s="6"/>
      <c r="F415" s="6"/>
      <c r="G415" s="6"/>
      <c r="H415" s="26"/>
      <c r="I415" s="6"/>
      <c r="J415" s="271"/>
      <c r="K415" s="271"/>
      <c r="L415" s="271"/>
      <c r="M415" s="271"/>
      <c r="N415" s="271"/>
      <c r="O415" s="271"/>
      <c r="P415" s="271"/>
      <c r="Q415" s="271"/>
      <c r="R415" s="271"/>
      <c r="S415" s="271"/>
      <c r="T415" s="271"/>
      <c r="U415" s="271"/>
      <c r="V415" s="271"/>
      <c r="W415" s="271"/>
      <c r="X415" s="271"/>
      <c r="Y415" s="271"/>
      <c r="Z415" s="271"/>
      <c r="AA415" s="271"/>
      <c r="AB415" s="6"/>
      <c r="AC415" s="6"/>
      <c r="AD415" s="6"/>
      <c r="AE415" s="6"/>
      <c r="AF415" s="6"/>
      <c r="AG415" s="6"/>
      <c r="AH415" s="6"/>
      <c r="AI415" s="6"/>
      <c r="AJ415" s="6"/>
      <c r="AK415" s="6"/>
      <c r="AL415" s="6"/>
      <c r="AM415" s="6"/>
      <c r="AN415" s="6"/>
      <c r="AO415" s="6"/>
      <c r="AP415" s="6"/>
    </row>
    <row r="416" spans="1:42" ht="15.75" x14ac:dyDescent="0.3">
      <c r="A416" s="248" t="s">
        <v>433</v>
      </c>
      <c r="B416" s="6"/>
      <c r="C416" s="6"/>
      <c r="D416" s="6"/>
      <c r="E416" s="6"/>
      <c r="F416" s="6"/>
      <c r="G416" s="25">
        <f ca="1">G409/G253</f>
        <v>5.9147329027152704</v>
      </c>
      <c r="H416" s="25">
        <f t="shared" ref="H416:P416" ca="1" si="269">H409/H253</f>
        <v>5.6086918748676764</v>
      </c>
      <c r="I416" s="25">
        <f t="shared" ca="1" si="269"/>
        <v>5.7457058427617795</v>
      </c>
      <c r="J416" s="25">
        <f t="shared" ca="1" si="269"/>
        <v>4.967158275077268</v>
      </c>
      <c r="K416" s="25">
        <f t="shared" ca="1" si="269"/>
        <v>4.4550060049664992</v>
      </c>
      <c r="L416" s="25">
        <f t="shared" ca="1" si="269"/>
        <v>4.0056926320056698</v>
      </c>
      <c r="M416" s="25">
        <f t="shared" ca="1" si="269"/>
        <v>3.5835534826643003</v>
      </c>
      <c r="N416" s="25">
        <f t="shared" ca="1" si="269"/>
        <v>3.1919642631123102</v>
      </c>
      <c r="O416" s="25">
        <f t="shared" ca="1" si="269"/>
        <v>2.8187412187555068</v>
      </c>
      <c r="P416" s="25">
        <f t="shared" ca="1" si="269"/>
        <v>2.4607246043919826</v>
      </c>
      <c r="Q416" s="346"/>
      <c r="R416" s="346"/>
      <c r="S416" s="346"/>
      <c r="T416" s="346"/>
      <c r="U416" s="346"/>
      <c r="V416" s="346"/>
      <c r="W416" s="346"/>
      <c r="X416" s="346"/>
      <c r="Y416" s="346"/>
      <c r="Z416" s="346"/>
      <c r="AA416" s="346"/>
      <c r="AB416" s="6"/>
      <c r="AC416" s="6"/>
      <c r="AD416" s="6"/>
      <c r="AE416" s="6"/>
      <c r="AF416" s="6"/>
      <c r="AG416" s="6"/>
      <c r="AH416" s="6"/>
      <c r="AI416" s="6"/>
      <c r="AJ416" s="6"/>
      <c r="AK416" s="6"/>
      <c r="AL416" s="6"/>
      <c r="AM416" s="6"/>
      <c r="AN416" s="6"/>
      <c r="AO416" s="6"/>
      <c r="AP416" s="6"/>
    </row>
    <row r="417" spans="1:42" ht="15.75" x14ac:dyDescent="0.3">
      <c r="A417" s="248" t="s">
        <v>249</v>
      </c>
      <c r="B417" s="6"/>
      <c r="C417" s="6"/>
      <c r="D417" s="6"/>
      <c r="E417" s="6"/>
      <c r="F417" s="6"/>
      <c r="G417" s="25">
        <f ca="1">G413/G297</f>
        <v>8.0148714099858029</v>
      </c>
      <c r="H417" s="25">
        <f t="shared" ref="H417:P417" ca="1" si="270">H413/H297</f>
        <v>7.2975986111090982</v>
      </c>
      <c r="I417" s="25">
        <f t="shared" ca="1" si="270"/>
        <v>7.3496993785442983</v>
      </c>
      <c r="J417" s="25">
        <f t="shared" ca="1" si="270"/>
        <v>6.4322697703969611</v>
      </c>
      <c r="K417" s="25">
        <f t="shared" ca="1" si="270"/>
        <v>5.8440331884361889</v>
      </c>
      <c r="L417" s="25">
        <f t="shared" ca="1" si="270"/>
        <v>5.3234230928376034</v>
      </c>
      <c r="M417" s="25">
        <f t="shared" ca="1" si="270"/>
        <v>4.8308878426180177</v>
      </c>
      <c r="N417" s="25">
        <f t="shared" ca="1" si="270"/>
        <v>4.3786055958803418</v>
      </c>
      <c r="O417" s="25">
        <f t="shared" ca="1" si="270"/>
        <v>3.9479030442266727</v>
      </c>
      <c r="P417" s="25">
        <f t="shared" ca="1" si="270"/>
        <v>3.535218103627884</v>
      </c>
      <c r="Q417" s="346"/>
      <c r="R417" s="346"/>
      <c r="S417" s="346"/>
      <c r="T417" s="346"/>
      <c r="U417" s="346"/>
      <c r="V417" s="346"/>
      <c r="W417" s="346"/>
      <c r="X417" s="346"/>
      <c r="Y417" s="346"/>
      <c r="Z417" s="346"/>
      <c r="AA417" s="346"/>
      <c r="AB417" s="6"/>
      <c r="AC417" s="6"/>
      <c r="AD417" s="6"/>
      <c r="AE417" s="6"/>
      <c r="AF417" s="6"/>
      <c r="AG417" s="6"/>
      <c r="AH417" s="6"/>
      <c r="AI417" s="6"/>
      <c r="AJ417" s="6"/>
      <c r="AK417" s="6"/>
      <c r="AL417" s="6"/>
      <c r="AM417" s="6"/>
      <c r="AN417" s="6"/>
      <c r="AO417" s="6"/>
      <c r="AP417" s="6"/>
    </row>
    <row r="418" spans="1:42" ht="15.75" x14ac:dyDescent="0.3">
      <c r="A418" s="248" t="s">
        <v>253</v>
      </c>
      <c r="B418" s="6"/>
      <c r="C418" s="6"/>
      <c r="D418" s="6"/>
      <c r="E418" s="6"/>
      <c r="F418" s="6"/>
      <c r="G418" s="25">
        <f ca="1">G409/G303</f>
        <v>11.930715180364839</v>
      </c>
      <c r="H418" s="25">
        <f t="shared" ref="H418:P418" ca="1" si="271">H409/H303</f>
        <v>9.4230026407157865</v>
      </c>
      <c r="I418" s="25">
        <f t="shared" ca="1" si="271"/>
        <v>11.230994907710821</v>
      </c>
      <c r="J418" s="25">
        <f t="shared" ca="1" si="271"/>
        <v>9.6126314624301479</v>
      </c>
      <c r="K418" s="25">
        <f t="shared" ca="1" si="271"/>
        <v>8.5266742436767089</v>
      </c>
      <c r="L418" s="25">
        <f t="shared" ca="1" si="271"/>
        <v>7.5946571923071815</v>
      </c>
      <c r="M418" s="25">
        <f t="shared" ca="1" si="271"/>
        <v>6.7243314735430255</v>
      </c>
      <c r="N418" s="25">
        <f t="shared" ca="1" si="271"/>
        <v>5.944620237321673</v>
      </c>
      <c r="O418" s="25">
        <f t="shared" ca="1" si="271"/>
        <v>5.2111851436923899</v>
      </c>
      <c r="P418" s="25">
        <f t="shared" ca="1" si="271"/>
        <v>4.5169087508958787</v>
      </c>
      <c r="Q418" s="346"/>
      <c r="R418" s="346"/>
      <c r="S418" s="346"/>
      <c r="T418" s="346"/>
      <c r="U418" s="346"/>
      <c r="V418" s="346"/>
      <c r="W418" s="346"/>
      <c r="X418" s="346"/>
      <c r="Y418" s="346"/>
      <c r="Z418" s="346"/>
      <c r="AA418" s="346"/>
      <c r="AB418" s="6"/>
      <c r="AC418" s="6"/>
      <c r="AD418" s="6"/>
      <c r="AE418" s="6"/>
      <c r="AF418" s="6"/>
      <c r="AG418" s="6"/>
      <c r="AH418" s="6"/>
      <c r="AI418" s="6"/>
      <c r="AJ418" s="6"/>
      <c r="AK418" s="6"/>
      <c r="AL418" s="6"/>
      <c r="AM418" s="6"/>
      <c r="AN418" s="6"/>
      <c r="AO418" s="6"/>
      <c r="AP418" s="6"/>
    </row>
    <row r="419" spans="1:42" ht="15.75" x14ac:dyDescent="0.3">
      <c r="A419" s="248"/>
      <c r="B419" s="6"/>
      <c r="C419" s="6"/>
      <c r="D419" s="6"/>
      <c r="E419" s="6"/>
      <c r="F419" s="6"/>
      <c r="G419" s="6"/>
      <c r="H419" s="6"/>
      <c r="I419" s="6"/>
      <c r="J419" s="346"/>
      <c r="K419" s="346"/>
      <c r="L419" s="346"/>
      <c r="M419" s="346"/>
      <c r="N419" s="346"/>
      <c r="O419" s="346"/>
      <c r="P419" s="346"/>
      <c r="Q419" s="346"/>
      <c r="R419" s="346"/>
      <c r="S419" s="346"/>
      <c r="T419" s="346"/>
      <c r="U419" s="346"/>
      <c r="V419" s="346"/>
      <c r="W419" s="346"/>
      <c r="X419" s="346"/>
      <c r="Y419" s="346"/>
      <c r="Z419" s="346"/>
      <c r="AA419" s="346"/>
      <c r="AB419" s="6"/>
      <c r="AC419" s="6"/>
      <c r="AD419" s="6"/>
      <c r="AE419" s="6"/>
      <c r="AF419" s="6"/>
      <c r="AG419" s="6"/>
      <c r="AH419" s="6"/>
      <c r="AI419" s="6"/>
      <c r="AJ419" s="6"/>
      <c r="AK419" s="6"/>
      <c r="AL419" s="6"/>
      <c r="AM419" s="6"/>
      <c r="AN419" s="6"/>
      <c r="AO419" s="6"/>
      <c r="AP419" s="6"/>
    </row>
    <row r="420" spans="1:42" ht="15.75" x14ac:dyDescent="0.3">
      <c r="A420" s="248" t="s">
        <v>505</v>
      </c>
      <c r="B420" s="6"/>
      <c r="C420" s="6"/>
      <c r="D420" s="6"/>
      <c r="E420" s="6"/>
      <c r="F420" s="6"/>
      <c r="G420" s="8">
        <f ca="1">G$410/G21*1000</f>
        <v>122.34799876582774</v>
      </c>
      <c r="H420" s="8">
        <f t="shared" ref="H420:P420" ca="1" si="272">H$410/H21*1000</f>
        <v>114.60445751240248</v>
      </c>
      <c r="I420" s="8">
        <f t="shared" ca="1" si="272"/>
        <v>108.85675118978656</v>
      </c>
      <c r="J420" s="8">
        <f t="shared" ca="1" si="272"/>
        <v>102.69569629438647</v>
      </c>
      <c r="K420" s="8">
        <f t="shared" ca="1" si="272"/>
        <v>97.102671505575543</v>
      </c>
      <c r="L420" s="8">
        <f t="shared" ca="1" si="272"/>
        <v>91.45103530386865</v>
      </c>
      <c r="M420" s="8">
        <f t="shared" ca="1" si="272"/>
        <v>85.693588166009889</v>
      </c>
      <c r="N420" s="8">
        <f t="shared" ca="1" si="272"/>
        <v>79.787481151402076</v>
      </c>
      <c r="O420" s="8">
        <f t="shared" ca="1" si="272"/>
        <v>73.654513544148841</v>
      </c>
      <c r="P420" s="8">
        <f t="shared" ca="1" si="272"/>
        <v>67.219876815623991</v>
      </c>
      <c r="Q420" s="342"/>
      <c r="R420" s="342"/>
      <c r="S420" s="342"/>
      <c r="T420" s="342"/>
      <c r="U420" s="342"/>
      <c r="V420" s="342"/>
      <c r="W420" s="342"/>
      <c r="X420" s="342"/>
      <c r="Y420" s="342"/>
      <c r="Z420" s="342"/>
      <c r="AA420" s="342"/>
      <c r="AB420" s="6"/>
      <c r="AC420" s="6"/>
      <c r="AD420" s="6"/>
      <c r="AE420" s="6"/>
      <c r="AF420" s="6"/>
      <c r="AG420" s="6"/>
      <c r="AH420" s="6"/>
      <c r="AI420" s="6"/>
      <c r="AJ420" s="6"/>
      <c r="AK420" s="6"/>
      <c r="AL420" s="6"/>
      <c r="AM420" s="6"/>
      <c r="AN420" s="6"/>
      <c r="AO420" s="6"/>
      <c r="AP420" s="6"/>
    </row>
    <row r="421" spans="1:42" ht="15.75" x14ac:dyDescent="0.3">
      <c r="A421" s="248" t="s">
        <v>506</v>
      </c>
      <c r="B421" s="6"/>
      <c r="C421" s="6"/>
      <c r="D421" s="6"/>
      <c r="E421" s="6"/>
      <c r="F421" s="6"/>
      <c r="G421" s="8">
        <f ca="1">G$410/G47*1000</f>
        <v>102.81344434103171</v>
      </c>
      <c r="H421" s="8">
        <f t="shared" ref="H421:P421" ca="1" si="273">H$410/H47*1000</f>
        <v>93.938079928198746</v>
      </c>
      <c r="I421" s="8">
        <f t="shared" ca="1" si="273"/>
        <v>91.017350493132568</v>
      </c>
      <c r="J421" s="8">
        <f t="shared" ca="1" si="273"/>
        <v>84.453697610515178</v>
      </c>
      <c r="K421" s="8">
        <f t="shared" ca="1" si="273"/>
        <v>78.562031962439761</v>
      </c>
      <c r="L421" s="8">
        <f t="shared" ca="1" si="273"/>
        <v>72.236204821381236</v>
      </c>
      <c r="M421" s="8">
        <f t="shared" ca="1" si="273"/>
        <v>66.635760626757303</v>
      </c>
      <c r="N421" s="8">
        <f t="shared" ca="1" si="273"/>
        <v>61.093017726954116</v>
      </c>
      <c r="O421" s="8">
        <f t="shared" ca="1" si="273"/>
        <v>55.546390304787963</v>
      </c>
      <c r="P421" s="8">
        <f t="shared" ca="1" si="273"/>
        <v>49.940473117105491</v>
      </c>
      <c r="Q421" s="342"/>
      <c r="R421" s="342"/>
      <c r="S421" s="342"/>
      <c r="T421" s="342"/>
      <c r="U421" s="342"/>
      <c r="V421" s="342"/>
      <c r="W421" s="342"/>
      <c r="X421" s="342"/>
      <c r="Y421" s="342"/>
      <c r="Z421" s="342"/>
      <c r="AA421" s="342"/>
      <c r="AB421" s="6"/>
      <c r="AC421" s="6"/>
      <c r="AD421" s="6"/>
      <c r="AE421" s="6"/>
      <c r="AF421" s="6"/>
      <c r="AG421" s="6"/>
      <c r="AH421" s="6"/>
      <c r="AI421" s="6"/>
      <c r="AJ421" s="6"/>
      <c r="AK421" s="6"/>
      <c r="AL421" s="6"/>
      <c r="AM421" s="6"/>
      <c r="AN421" s="6"/>
      <c r="AO421" s="6"/>
      <c r="AP421" s="6"/>
    </row>
    <row r="422" spans="1:42" ht="15.75" x14ac:dyDescent="0.3">
      <c r="A422" s="248"/>
      <c r="B422" s="6"/>
      <c r="C422" s="6"/>
      <c r="D422" s="6"/>
      <c r="E422" s="6"/>
      <c r="F422" s="6"/>
      <c r="G422" s="6"/>
      <c r="H422" s="6"/>
      <c r="I422" s="6"/>
      <c r="J422" s="342"/>
      <c r="K422" s="342"/>
      <c r="L422" s="342"/>
      <c r="M422" s="342"/>
      <c r="N422" s="342"/>
      <c r="O422" s="342"/>
      <c r="P422" s="342"/>
      <c r="Q422" s="342"/>
      <c r="R422" s="342"/>
      <c r="S422" s="342"/>
      <c r="T422" s="342"/>
      <c r="U422" s="342"/>
      <c r="V422" s="342"/>
      <c r="W422" s="342"/>
      <c r="X422" s="342"/>
      <c r="Y422" s="342"/>
      <c r="Z422" s="342"/>
      <c r="AA422" s="342"/>
      <c r="AB422" s="6"/>
      <c r="AC422" s="6"/>
      <c r="AD422" s="6"/>
      <c r="AE422" s="6"/>
      <c r="AF422" s="6"/>
      <c r="AG422" s="6"/>
      <c r="AH422" s="6"/>
      <c r="AI422" s="6"/>
      <c r="AJ422" s="6"/>
      <c r="AK422" s="6"/>
      <c r="AL422" s="6"/>
      <c r="AM422" s="6"/>
      <c r="AN422" s="6"/>
      <c r="AO422" s="6"/>
      <c r="AP422" s="6"/>
    </row>
    <row r="423" spans="1:42" ht="15.75" x14ac:dyDescent="0.3">
      <c r="A423" s="248" t="s">
        <v>507</v>
      </c>
      <c r="B423" s="6"/>
      <c r="C423" s="6"/>
      <c r="D423" s="6"/>
      <c r="E423" s="6"/>
      <c r="F423" s="6"/>
      <c r="G423" s="8">
        <f ca="1">G$414/G21*1000</f>
        <v>148.90637085675033</v>
      </c>
      <c r="H423" s="8">
        <f t="shared" ref="H423:P423" ca="1" si="274">H$414/H21*1000</f>
        <v>136.47004608876</v>
      </c>
      <c r="I423" s="8">
        <f t="shared" ca="1" si="274"/>
        <v>126.37751509691988</v>
      </c>
      <c r="J423" s="8">
        <f t="shared" ca="1" si="274"/>
        <v>121.63032492973939</v>
      </c>
      <c r="K423" s="8">
        <f t="shared" ca="1" si="274"/>
        <v>116.59006216589431</v>
      </c>
      <c r="L423" s="8">
        <f t="shared" ca="1" si="274"/>
        <v>111.33901780934382</v>
      </c>
      <c r="M423" s="8">
        <f t="shared" ca="1" si="274"/>
        <v>105.99662175879411</v>
      </c>
      <c r="N423" s="8">
        <f t="shared" ca="1" si="274"/>
        <v>100.52001465910651</v>
      </c>
      <c r="O423" s="8">
        <f t="shared" ca="1" si="274"/>
        <v>94.831027343937379</v>
      </c>
      <c r="P423" s="8">
        <f t="shared" ca="1" si="274"/>
        <v>88.854919923364122</v>
      </c>
      <c r="Q423" s="342"/>
      <c r="R423" s="342"/>
      <c r="S423" s="342"/>
      <c r="T423" s="342"/>
      <c r="U423" s="342"/>
      <c r="V423" s="342"/>
      <c r="W423" s="342"/>
      <c r="X423" s="342"/>
      <c r="Y423" s="342"/>
      <c r="Z423" s="342"/>
      <c r="AA423" s="342"/>
      <c r="AB423" s="6"/>
      <c r="AC423" s="6"/>
      <c r="AD423" s="6"/>
      <c r="AE423" s="6"/>
      <c r="AF423" s="6"/>
      <c r="AG423" s="6"/>
      <c r="AH423" s="6"/>
      <c r="AI423" s="6"/>
      <c r="AJ423" s="6"/>
      <c r="AK423" s="6"/>
      <c r="AL423" s="6"/>
      <c r="AM423" s="6"/>
      <c r="AN423" s="6"/>
      <c r="AO423" s="6"/>
      <c r="AP423" s="6"/>
    </row>
    <row r="424" spans="1:42" ht="15.75" x14ac:dyDescent="0.3">
      <c r="A424" s="248" t="s">
        <v>507</v>
      </c>
      <c r="B424" s="6"/>
      <c r="C424" s="6"/>
      <c r="D424" s="6"/>
      <c r="E424" s="6"/>
      <c r="F424" s="6"/>
      <c r="G424" s="8">
        <f ca="1">G$414/G47*1000</f>
        <v>125.1314040813028</v>
      </c>
      <c r="H424" s="8">
        <f t="shared" ref="H424:P424" ca="1" si="275">H$414/H47*1000</f>
        <v>111.86069351537706</v>
      </c>
      <c r="I424" s="8">
        <f t="shared" ca="1" si="275"/>
        <v>105.66681864290959</v>
      </c>
      <c r="J424" s="8">
        <f t="shared" ca="1" si="275"/>
        <v>100.0249382645883</v>
      </c>
      <c r="K424" s="8">
        <f t="shared" ca="1" si="275"/>
        <v>94.328529260432276</v>
      </c>
      <c r="L424" s="8">
        <f t="shared" ca="1" si="275"/>
        <v>87.945511697743925</v>
      </c>
      <c r="M424" s="8">
        <f t="shared" ca="1" si="275"/>
        <v>82.423500590042082</v>
      </c>
      <c r="N424" s="8">
        <f t="shared" ca="1" si="275"/>
        <v>76.967851959499626</v>
      </c>
      <c r="O424" s="8">
        <f t="shared" ca="1" si="275"/>
        <v>71.51661187325594</v>
      </c>
      <c r="P424" s="8">
        <f t="shared" ca="1" si="275"/>
        <v>66.014056406659819</v>
      </c>
      <c r="Q424" s="342"/>
      <c r="R424" s="342"/>
      <c r="S424" s="342"/>
      <c r="T424" s="342"/>
      <c r="U424" s="342"/>
      <c r="V424" s="342"/>
      <c r="W424" s="342"/>
      <c r="X424" s="342"/>
      <c r="Y424" s="342"/>
      <c r="Z424" s="342"/>
      <c r="AA424" s="342"/>
      <c r="AB424" s="6"/>
      <c r="AC424" s="6"/>
      <c r="AD424" s="6"/>
      <c r="AE424" s="6"/>
      <c r="AF424" s="6"/>
      <c r="AG424" s="6"/>
      <c r="AH424" s="6"/>
      <c r="AI424" s="6"/>
      <c r="AJ424" s="6"/>
      <c r="AK424" s="6"/>
      <c r="AL424" s="6"/>
      <c r="AM424" s="6"/>
      <c r="AN424" s="6"/>
      <c r="AO424" s="6"/>
      <c r="AP424" s="6"/>
    </row>
    <row r="425" spans="1:42" ht="15.75" x14ac:dyDescent="0.3">
      <c r="A425" s="248"/>
      <c r="B425" s="6"/>
      <c r="C425" s="6"/>
      <c r="D425" s="6"/>
      <c r="E425" s="6"/>
      <c r="F425" s="6"/>
      <c r="G425" s="6"/>
      <c r="H425" s="6"/>
      <c r="I425" s="6"/>
      <c r="J425" s="342"/>
      <c r="K425" s="342"/>
      <c r="L425" s="342"/>
      <c r="M425" s="342"/>
      <c r="N425" s="342"/>
      <c r="O425" s="342"/>
      <c r="P425" s="342"/>
      <c r="Q425" s="342"/>
      <c r="R425" s="342"/>
      <c r="S425" s="342"/>
      <c r="T425" s="342"/>
      <c r="U425" s="342"/>
      <c r="V425" s="342"/>
      <c r="W425" s="342"/>
      <c r="X425" s="342"/>
      <c r="Y425" s="342"/>
      <c r="Z425" s="342"/>
      <c r="AA425" s="342"/>
      <c r="AB425" s="6"/>
      <c r="AC425" s="6"/>
      <c r="AD425" s="6"/>
      <c r="AE425" s="6"/>
      <c r="AF425" s="6"/>
      <c r="AG425" s="6"/>
      <c r="AH425" s="6"/>
      <c r="AI425" s="6"/>
      <c r="AJ425" s="6"/>
      <c r="AK425" s="6"/>
      <c r="AL425" s="6"/>
      <c r="AM425" s="6"/>
      <c r="AN425" s="6"/>
      <c r="AO425" s="6"/>
      <c r="AP425" s="6"/>
    </row>
    <row r="426" spans="1:42" ht="15.75" x14ac:dyDescent="0.3">
      <c r="A426" s="248" t="s">
        <v>438</v>
      </c>
      <c r="B426" s="6"/>
      <c r="C426" s="6"/>
      <c r="D426" s="6"/>
      <c r="E426" s="6"/>
      <c r="F426" s="6"/>
      <c r="G426" s="25">
        <f>G406/G338</f>
        <v>73.518164914080529</v>
      </c>
      <c r="H426" s="25">
        <f>H406/H338</f>
        <v>-60.289878924846761</v>
      </c>
      <c r="I426" s="25">
        <f t="shared" ref="I426:P426" si="276">I406/I338</f>
        <v>-15.801673486299718</v>
      </c>
      <c r="J426" s="25">
        <f t="shared" ca="1" si="276"/>
        <v>26.76898465489398</v>
      </c>
      <c r="K426" s="25">
        <f t="shared" ca="1" si="276"/>
        <v>10.628671915562665</v>
      </c>
      <c r="L426" s="25">
        <f t="shared" ca="1" si="276"/>
        <v>6.4821883484696636</v>
      </c>
      <c r="M426" s="25">
        <f t="shared" ca="1" si="276"/>
        <v>4.6257315326441555</v>
      </c>
      <c r="N426" s="25">
        <f t="shared" ca="1" si="276"/>
        <v>3.5923399128618687</v>
      </c>
      <c r="O426" s="25">
        <f t="shared" ca="1" si="276"/>
        <v>2.9184431508343187</v>
      </c>
      <c r="P426" s="25">
        <f t="shared" ca="1" si="276"/>
        <v>2.4416445341497863</v>
      </c>
      <c r="Q426" s="346"/>
      <c r="R426" s="346"/>
      <c r="S426" s="346"/>
      <c r="T426" s="346"/>
      <c r="U426" s="346"/>
      <c r="V426" s="346"/>
      <c r="W426" s="346"/>
      <c r="X426" s="346"/>
      <c r="Y426" s="346"/>
      <c r="Z426" s="346"/>
      <c r="AA426" s="346"/>
      <c r="AB426" s="6"/>
      <c r="AC426" s="6"/>
      <c r="AD426" s="6"/>
      <c r="AE426" s="6"/>
      <c r="AF426" s="6"/>
      <c r="AG426" s="6"/>
      <c r="AH426" s="6"/>
      <c r="AI426" s="6"/>
      <c r="AJ426" s="6"/>
      <c r="AK426" s="6"/>
      <c r="AL426" s="6"/>
      <c r="AM426" s="6"/>
      <c r="AN426" s="6"/>
      <c r="AO426" s="6"/>
      <c r="AP426" s="6"/>
    </row>
    <row r="427" spans="1:42" ht="15.75" x14ac:dyDescent="0.3">
      <c r="A427" s="248" t="s">
        <v>439</v>
      </c>
      <c r="B427" s="6"/>
      <c r="C427" s="6"/>
      <c r="D427" s="6"/>
      <c r="E427" s="6"/>
      <c r="F427" s="6"/>
      <c r="G427" s="21">
        <f>G359/G406</f>
        <v>8.1851452826221194E-2</v>
      </c>
      <c r="H427" s="21">
        <f t="shared" ref="H427:P427" si="277">H359/H406</f>
        <v>0.10088791165241114</v>
      </c>
      <c r="I427" s="21">
        <f t="shared" si="277"/>
        <v>-6.1274877443513107E-2</v>
      </c>
      <c r="J427" s="21">
        <f t="shared" ca="1" si="277"/>
        <v>9.6131245889789791E-3</v>
      </c>
      <c r="K427" s="21">
        <f t="shared" ca="1" si="277"/>
        <v>7.1534392284270235E-2</v>
      </c>
      <c r="L427" s="21">
        <f t="shared" ca="1" si="277"/>
        <v>8.6372113181980445E-2</v>
      </c>
      <c r="M427" s="21">
        <f t="shared" ca="1" si="277"/>
        <v>0.10311346301979218</v>
      </c>
      <c r="N427" s="21">
        <f t="shared" ca="1" si="277"/>
        <v>0.12181241193173389</v>
      </c>
      <c r="O427" s="21">
        <f t="shared" ca="1" si="277"/>
        <v>0.14402098849516529</v>
      </c>
      <c r="P427" s="21">
        <f t="shared" ca="1" si="277"/>
        <v>0.16996286366708555</v>
      </c>
      <c r="Q427" s="347"/>
      <c r="R427" s="347"/>
      <c r="S427" s="347"/>
      <c r="T427" s="347"/>
      <c r="U427" s="347"/>
      <c r="V427" s="347"/>
      <c r="W427" s="347"/>
      <c r="X427" s="347"/>
      <c r="Y427" s="347"/>
      <c r="Z427" s="347"/>
      <c r="AA427" s="347"/>
      <c r="AB427" s="6"/>
      <c r="AC427" s="6"/>
      <c r="AD427" s="6"/>
      <c r="AE427" s="6"/>
      <c r="AF427" s="6"/>
      <c r="AG427" s="6"/>
      <c r="AH427" s="6"/>
      <c r="AI427" s="6"/>
      <c r="AJ427" s="6"/>
      <c r="AK427" s="6"/>
      <c r="AL427" s="6"/>
      <c r="AM427" s="6"/>
      <c r="AN427" s="6"/>
      <c r="AO427" s="6"/>
      <c r="AP427" s="6"/>
    </row>
    <row r="428" spans="1:42" ht="15.75" x14ac:dyDescent="0.3">
      <c r="A428" s="6"/>
      <c r="B428" s="6"/>
      <c r="C428" s="6"/>
      <c r="D428" s="6"/>
      <c r="E428" s="6"/>
      <c r="F428" s="6"/>
      <c r="G428" s="12"/>
      <c r="H428" s="12"/>
      <c r="I428" s="12"/>
      <c r="J428" s="12"/>
      <c r="K428" s="12"/>
      <c r="L428" s="12"/>
      <c r="M428" s="12"/>
      <c r="N428" s="12"/>
      <c r="O428" s="12"/>
      <c r="P428" s="12"/>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row>
    <row r="429" spans="1:42" ht="15.75" x14ac:dyDescent="0.3">
      <c r="A429" s="6" t="s">
        <v>542</v>
      </c>
      <c r="B429" s="6"/>
      <c r="C429" s="6"/>
      <c r="D429" s="6"/>
      <c r="E429" s="6"/>
      <c r="F429" s="6"/>
      <c r="G429" s="21">
        <f>(G309+G313+G327)/(G340+G389)</f>
        <v>6.0911574519939463E-2</v>
      </c>
      <c r="H429" s="21">
        <f t="shared" ref="H429:P429" si="278">(H309+H313+H327)/(H340+H389)</f>
        <v>4.8592358207668704E-2</v>
      </c>
      <c r="I429" s="21">
        <f t="shared" si="278"/>
        <v>1.8035565560348011E-2</v>
      </c>
      <c r="J429" s="21">
        <f t="shared" ca="1" si="278"/>
        <v>7.1582155044947096E-2</v>
      </c>
      <c r="K429" s="21">
        <f t="shared" ca="1" si="278"/>
        <v>9.4010948566769351E-2</v>
      </c>
      <c r="L429" s="21">
        <f t="shared" ca="1" si="278"/>
        <v>0.11452172921161353</v>
      </c>
      <c r="M429" s="21">
        <f t="shared" ca="1" si="278"/>
        <v>0.1320517255936253</v>
      </c>
      <c r="N429" s="21">
        <f t="shared" ca="1" si="278"/>
        <v>0.14562326825704972</v>
      </c>
      <c r="O429" s="21">
        <f t="shared" ca="1" si="278"/>
        <v>0.15591775416972739</v>
      </c>
      <c r="P429" s="21">
        <f t="shared" ca="1" si="278"/>
        <v>0.16329862058862371</v>
      </c>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row>
    <row r="430" spans="1:42" ht="15.75" x14ac:dyDescent="0.3">
      <c r="A430" s="6"/>
      <c r="B430" s="6"/>
      <c r="C430" s="6"/>
      <c r="D430" s="6"/>
      <c r="E430" s="6"/>
      <c r="F430" s="6"/>
      <c r="G430" s="12"/>
      <c r="H430" s="12"/>
      <c r="I430" s="12"/>
      <c r="J430" s="12"/>
      <c r="K430" s="12"/>
      <c r="L430" s="12"/>
      <c r="M430" s="12"/>
      <c r="N430" s="12"/>
      <c r="O430" s="12"/>
      <c r="P430" s="12"/>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row>
    <row r="431" spans="1:42" ht="15.75" x14ac:dyDescent="0.3">
      <c r="A431" s="6"/>
      <c r="B431" s="6"/>
      <c r="C431" s="6"/>
      <c r="D431" s="6"/>
      <c r="E431" s="6"/>
      <c r="F431" s="6"/>
      <c r="G431" s="12"/>
      <c r="H431" s="12"/>
      <c r="I431" s="12"/>
      <c r="J431" s="12"/>
      <c r="K431" s="12"/>
      <c r="L431" s="12"/>
      <c r="M431" s="12"/>
      <c r="N431" s="12"/>
      <c r="O431" s="12"/>
      <c r="P431" s="12"/>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row>
    <row r="432" spans="1:42" ht="15.75" x14ac:dyDescent="0.3">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row>
    <row r="433" spans="1:42" ht="15.75" x14ac:dyDescent="0.3">
      <c r="A433" s="24" t="s">
        <v>93</v>
      </c>
      <c r="B433" s="24"/>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row>
    <row r="434" spans="1:42" ht="15.75" x14ac:dyDescent="0.3">
      <c r="A434" s="248" t="s">
        <v>74</v>
      </c>
      <c r="B434" s="348">
        <v>0.115</v>
      </c>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row>
    <row r="435" spans="1:42" ht="15.75" x14ac:dyDescent="0.3">
      <c r="A435" s="248" t="s">
        <v>75</v>
      </c>
      <c r="B435" s="345">
        <f ca="1">NPV(B434,K402:P402)</f>
        <v>26110.264313825028</v>
      </c>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row>
    <row r="436" spans="1:42" ht="15.75" x14ac:dyDescent="0.3">
      <c r="A436" s="248" t="s">
        <v>76</v>
      </c>
      <c r="B436" s="348">
        <v>0.05</v>
      </c>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row>
    <row r="437" spans="1:42" ht="15.75" x14ac:dyDescent="0.3">
      <c r="A437" s="248" t="s">
        <v>77</v>
      </c>
      <c r="B437" s="345">
        <f ca="1">P402/(B434-B436)</f>
        <v>107414.78863049184</v>
      </c>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row>
    <row r="438" spans="1:42" ht="15.75" x14ac:dyDescent="0.3">
      <c r="A438" s="284" t="s">
        <v>78</v>
      </c>
      <c r="B438" s="349">
        <f ca="1">B437/(1+B434)^(P1-J1+1)</f>
        <v>50134.883084349131</v>
      </c>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row>
    <row r="439" spans="1:42" ht="15.75" x14ac:dyDescent="0.3">
      <c r="A439" s="248" t="s">
        <v>79</v>
      </c>
      <c r="B439" s="345">
        <f ca="1">B435+B438</f>
        <v>76245.147398174158</v>
      </c>
      <c r="C439" s="6"/>
      <c r="D439" s="390">
        <f ca="1">$B$439/H303</f>
        <v>10.464609854264912</v>
      </c>
      <c r="E439" s="390">
        <f ca="1">$B$439/I303</f>
        <v>11.107746836033279</v>
      </c>
      <c r="F439" s="6"/>
      <c r="G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row>
    <row r="440" spans="1:42" ht="15.75" x14ac:dyDescent="0.3">
      <c r="A440" s="248" t="s">
        <v>80</v>
      </c>
      <c r="B440" s="345">
        <f ca="1">B439/H176</f>
        <v>3780.1262963893978</v>
      </c>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row>
    <row r="441" spans="1:42" ht="15.75" x14ac:dyDescent="0.3">
      <c r="A441" s="248"/>
      <c r="B441" s="6"/>
      <c r="C441" s="6"/>
      <c r="D441" s="6"/>
      <c r="E441" s="6"/>
      <c r="F441" s="6"/>
      <c r="G441" s="6"/>
      <c r="H441" s="6"/>
      <c r="I441" s="6"/>
      <c r="J441" s="6"/>
      <c r="K441" s="6"/>
      <c r="L441" s="6"/>
      <c r="M441" s="6"/>
      <c r="N441" s="6"/>
      <c r="O441" s="321"/>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row>
    <row r="442" spans="1:42" ht="15.75" x14ac:dyDescent="0.3">
      <c r="A442" s="248" t="s">
        <v>723</v>
      </c>
      <c r="B442" s="345">
        <f ca="1">J340</f>
        <v>52585.580260845061</v>
      </c>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row>
    <row r="443" spans="1:42" ht="15.75" x14ac:dyDescent="0.3">
      <c r="A443" s="248" t="s">
        <v>88</v>
      </c>
      <c r="B443" s="350">
        <f ca="1">(B439-B442)*0.44*0.13</f>
        <v>1353.3272402552245</v>
      </c>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row>
    <row r="444" spans="1:42" ht="15.75" x14ac:dyDescent="0.3">
      <c r="A444" s="248" t="s">
        <v>534</v>
      </c>
      <c r="B444" s="345">
        <f ca="1">B439-B442-B443</f>
        <v>22306.239897073872</v>
      </c>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row>
    <row r="445" spans="1:42" ht="15.75" x14ac:dyDescent="0.3">
      <c r="A445" s="284" t="s">
        <v>81</v>
      </c>
      <c r="B445" s="349"/>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row>
    <row r="446" spans="1:42" ht="15.75" x14ac:dyDescent="0.3">
      <c r="A446" s="248" t="s">
        <v>82</v>
      </c>
      <c r="B446" s="345">
        <f ca="1">B444+B445</f>
        <v>22306.239897073872</v>
      </c>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row>
    <row r="447" spans="1:42" ht="15.75" x14ac:dyDescent="0.3">
      <c r="A447" s="248"/>
      <c r="B447" s="34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row>
    <row r="448" spans="1:42" ht="15.75" x14ac:dyDescent="0.3">
      <c r="A448" s="248" t="s">
        <v>83</v>
      </c>
      <c r="B448" s="351">
        <v>3189.4</v>
      </c>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row>
    <row r="449" spans="1:42" ht="15.75" x14ac:dyDescent="0.3">
      <c r="A449" s="248" t="s">
        <v>84</v>
      </c>
      <c r="B449" s="346">
        <f ca="1">B444/B448</f>
        <v>6.993867152779166</v>
      </c>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row>
    <row r="450" spans="1:42" ht="15.75" x14ac:dyDescent="0.3">
      <c r="A450" s="352" t="s">
        <v>85</v>
      </c>
      <c r="B450" s="353">
        <f ca="1">B446/B448</f>
        <v>6.993867152779166</v>
      </c>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row>
    <row r="451" spans="1:42" ht="15.75" x14ac:dyDescent="0.3">
      <c r="A451" s="248" t="s">
        <v>86</v>
      </c>
      <c r="B451" s="331">
        <f ca="1">B450/B456-1</f>
        <v>-2.7278560114163297E-2</v>
      </c>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row>
    <row r="452" spans="1:42" ht="15.75" x14ac:dyDescent="0.3">
      <c r="A452" s="248"/>
      <c r="B452" s="354"/>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row>
    <row r="453" spans="1:42" ht="15.75" x14ac:dyDescent="0.3">
      <c r="A453" s="248" t="s">
        <v>87</v>
      </c>
      <c r="B453" s="275">
        <f ca="1">B444/H176</f>
        <v>1105.9117450210149</v>
      </c>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row>
    <row r="454" spans="1:42" ht="15.75" x14ac:dyDescent="0.3">
      <c r="A454" s="248" t="s">
        <v>82</v>
      </c>
      <c r="B454" s="275">
        <f ca="1">B446/H176</f>
        <v>1105.9117450210149</v>
      </c>
      <c r="C454" s="248"/>
      <c r="D454" s="248"/>
      <c r="E454" s="248"/>
      <c r="F454" s="248"/>
      <c r="G454" s="248"/>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row>
    <row r="455" spans="1:42" ht="15.75" x14ac:dyDescent="0.3">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row>
    <row r="456" spans="1:42" ht="15.75" x14ac:dyDescent="0.3">
      <c r="A456" s="6" t="s">
        <v>89</v>
      </c>
      <c r="B456" s="111">
        <v>7.19</v>
      </c>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row>
    <row r="457" spans="1:42" ht="15.75" x14ac:dyDescent="0.3">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row>
    <row r="458" spans="1:42" ht="15.75" x14ac:dyDescent="0.3">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row>
    <row r="459" spans="1:42" ht="15.75" x14ac:dyDescent="0.3">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row>
    <row r="460" spans="1:42" ht="15.75" x14ac:dyDescent="0.3">
      <c r="A460" s="6" t="s">
        <v>247</v>
      </c>
      <c r="B460" s="6">
        <v>11337</v>
      </c>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row>
    <row r="461" spans="1:42" ht="15.75" x14ac:dyDescent="0.3">
      <c r="A461" s="6" t="s">
        <v>252</v>
      </c>
      <c r="B461" s="6">
        <f>16624+42275-12262+3649+10509</f>
        <v>60795</v>
      </c>
      <c r="C461" s="6"/>
      <c r="D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row>
    <row r="462" spans="1:42" ht="15.75" x14ac:dyDescent="0.3">
      <c r="A462" s="6"/>
      <c r="B462" s="6"/>
      <c r="C462" s="6"/>
      <c r="D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row>
    <row r="463" spans="1:42" ht="15.75" x14ac:dyDescent="0.3">
      <c r="A463" s="6"/>
      <c r="B463" s="6"/>
      <c r="C463" s="6"/>
      <c r="D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row>
    <row r="464" spans="1:42" ht="15.75" x14ac:dyDescent="0.3">
      <c r="A464" s="6"/>
      <c r="B464" s="6"/>
      <c r="C464" s="6"/>
      <c r="D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row>
    <row r="465" spans="1:42" ht="15.75" x14ac:dyDescent="0.3">
      <c r="A465" s="6" t="s">
        <v>251</v>
      </c>
      <c r="B465" s="6">
        <v>6017</v>
      </c>
      <c r="C465" s="6"/>
      <c r="D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row>
    <row r="466" spans="1:42" ht="15.75" x14ac:dyDescent="0.3">
      <c r="A466" s="6" t="s">
        <v>254</v>
      </c>
      <c r="B466" s="6">
        <v>46337</v>
      </c>
      <c r="C466" s="6"/>
      <c r="D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row>
    <row r="467" spans="1:42" ht="15.75" x14ac:dyDescent="0.3">
      <c r="A467" s="6"/>
      <c r="B467" s="6"/>
      <c r="C467" s="6"/>
      <c r="D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row>
    <row r="468" spans="1:42" ht="15.75" x14ac:dyDescent="0.3">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row>
    <row r="469" spans="1:42" ht="15.75" x14ac:dyDescent="0.3">
      <c r="A469" s="355" t="s">
        <v>249</v>
      </c>
      <c r="B469" s="355">
        <v>10</v>
      </c>
      <c r="C469" s="355">
        <v>12</v>
      </c>
      <c r="D469" s="355">
        <v>14</v>
      </c>
      <c r="E469" s="355">
        <v>16</v>
      </c>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row>
    <row r="470" spans="1:42" ht="15.75" x14ac:dyDescent="0.3">
      <c r="A470" s="355" t="s">
        <v>250</v>
      </c>
      <c r="B470" s="356">
        <f>(B469*$B$460-$B$461)/$B$448</f>
        <v>16.484291716310278</v>
      </c>
      <c r="C470" s="356">
        <f>(C469*$B$460-$B$461)/$B$448</f>
        <v>23.59346585564683</v>
      </c>
      <c r="D470" s="356">
        <f>(D469*$B$460-$B$461)/$B$448</f>
        <v>30.702639994983382</v>
      </c>
      <c r="E470" s="356">
        <f>(E469*$B$460-$B$461)/$B$448</f>
        <v>37.811814134319931</v>
      </c>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row>
    <row r="471" spans="1:42" ht="15.75" x14ac:dyDescent="0.3">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row>
    <row r="472" spans="1:42" ht="15.75" x14ac:dyDescent="0.3">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row>
    <row r="473" spans="1:42" ht="15.75" x14ac:dyDescent="0.3">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row>
    <row r="474" spans="1:42" ht="15.75" x14ac:dyDescent="0.3">
      <c r="A474" s="355" t="s">
        <v>253</v>
      </c>
      <c r="B474" s="355">
        <v>18</v>
      </c>
      <c r="C474" s="355">
        <v>20</v>
      </c>
      <c r="D474" s="355">
        <v>22</v>
      </c>
      <c r="E474" s="355">
        <v>24</v>
      </c>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row>
    <row r="475" spans="1:42" ht="15.75" x14ac:dyDescent="0.3">
      <c r="A475" s="355" t="s">
        <v>250</v>
      </c>
      <c r="B475" s="356">
        <f>(B474*$B$465-$B$466)/$B$448</f>
        <v>19.42967329278234</v>
      </c>
      <c r="C475" s="356">
        <f>(C474*$B$465-$B$466)/$B$448</f>
        <v>23.202796764281683</v>
      </c>
      <c r="D475" s="356">
        <f>(D474*$B$465-$B$466)/$B$448</f>
        <v>26.975920235781025</v>
      </c>
      <c r="E475" s="356">
        <f>(E474*$B$465-$B$466)/$B$448</f>
        <v>30.749043707280364</v>
      </c>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row>
    <row r="476" spans="1:42" ht="15.75" x14ac:dyDescent="0.3">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row>
    <row r="477" spans="1:42" ht="15.75" x14ac:dyDescent="0.3">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row>
    <row r="478" spans="1:42" ht="15.75" x14ac:dyDescent="0.3">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row>
    <row r="479" spans="1:42" ht="15.75" x14ac:dyDescent="0.3">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row>
    <row r="480" spans="1:42" ht="15.75" x14ac:dyDescent="0.3">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row>
    <row r="481" spans="1:42" ht="15.75" x14ac:dyDescent="0.3">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row>
    <row r="482" spans="1:42" ht="15.75" x14ac:dyDescent="0.3">
      <c r="A482" s="20" t="s">
        <v>400</v>
      </c>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row>
    <row r="483" spans="1:42" ht="15.75" x14ac:dyDescent="0.3">
      <c r="A483" s="6" t="s">
        <v>401</v>
      </c>
      <c r="B483" s="12">
        <f>C11</f>
        <v>1370</v>
      </c>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row>
    <row r="484" spans="1:42" ht="15.75" x14ac:dyDescent="0.3">
      <c r="A484" s="6" t="s">
        <v>402</v>
      </c>
      <c r="B484" s="320">
        <f>H$274*12/H$176</f>
        <v>10.846053055349154</v>
      </c>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row>
    <row r="485" spans="1:42" ht="15.75" x14ac:dyDescent="0.3">
      <c r="A485" s="6" t="s">
        <v>403</v>
      </c>
      <c r="B485" s="21">
        <v>0.9</v>
      </c>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row>
    <row r="486" spans="1:42" ht="15.75" x14ac:dyDescent="0.3">
      <c r="A486" s="6" t="s">
        <v>405</v>
      </c>
      <c r="B486" s="14">
        <f>B484*B485</f>
        <v>9.7614477498142396</v>
      </c>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row>
    <row r="487" spans="1:42" ht="15.75" x14ac:dyDescent="0.3">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row>
    <row r="488" spans="1:42" ht="15.75" x14ac:dyDescent="0.3">
      <c r="A488" s="6" t="s">
        <v>404</v>
      </c>
      <c r="B488" s="357">
        <v>8</v>
      </c>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row>
    <row r="489" spans="1:42" ht="15.75" x14ac:dyDescent="0.3">
      <c r="A489" s="6" t="s">
        <v>406</v>
      </c>
      <c r="B489" s="8">
        <f>B488*B486</f>
        <v>78.091581998513917</v>
      </c>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row>
    <row r="490" spans="1:42" ht="15.75" x14ac:dyDescent="0.3">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row>
    <row r="491" spans="1:42" ht="15.75" x14ac:dyDescent="0.3">
      <c r="A491" s="6" t="s">
        <v>407</v>
      </c>
      <c r="B491" s="12">
        <f>B489*B483</f>
        <v>106985.46733796406</v>
      </c>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row>
    <row r="492" spans="1:42" ht="15.75" x14ac:dyDescent="0.3">
      <c r="A492" s="6" t="s">
        <v>408</v>
      </c>
      <c r="B492" s="12">
        <f>B491*H176/1000</f>
        <v>2157.8968762067352</v>
      </c>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row>
    <row r="493" spans="1:42" ht="15.75" x14ac:dyDescent="0.3">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row>
    <row r="494" spans="1:42" ht="15.75" x14ac:dyDescent="0.3">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row>
    <row r="495" spans="1:42" ht="15.75" x14ac:dyDescent="0.3">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row>
    <row r="496" spans="1:42" ht="15.75" x14ac:dyDescent="0.3">
      <c r="A496" s="20" t="s">
        <v>409</v>
      </c>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row>
    <row r="497" spans="1:42" ht="15.75" x14ac:dyDescent="0.3">
      <c r="A497" s="6" t="s">
        <v>401</v>
      </c>
      <c r="B497" s="12">
        <f>C6</f>
        <v>3687</v>
      </c>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row>
    <row r="498" spans="1:42" ht="15.75" x14ac:dyDescent="0.3">
      <c r="A498" s="6" t="s">
        <v>402</v>
      </c>
      <c r="B498" s="320">
        <f>H$274*12/H$176</f>
        <v>10.846053055349154</v>
      </c>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row>
    <row r="499" spans="1:42" ht="15.75" x14ac:dyDescent="0.3">
      <c r="A499" s="6" t="s">
        <v>403</v>
      </c>
      <c r="B499" s="21">
        <v>0.9</v>
      </c>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row>
    <row r="500" spans="1:42" ht="15.75" x14ac:dyDescent="0.3">
      <c r="A500" s="6" t="s">
        <v>405</v>
      </c>
      <c r="B500" s="14">
        <f>B498*B499</f>
        <v>9.7614477498142396</v>
      </c>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row>
    <row r="501" spans="1:42" ht="15.75" x14ac:dyDescent="0.3">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row>
    <row r="502" spans="1:42" ht="15.75" x14ac:dyDescent="0.3">
      <c r="A502" s="6" t="s">
        <v>404</v>
      </c>
      <c r="B502" s="357">
        <v>8</v>
      </c>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row>
    <row r="503" spans="1:42" ht="15.75" x14ac:dyDescent="0.3">
      <c r="A503" s="6" t="s">
        <v>406</v>
      </c>
      <c r="B503" s="8">
        <f>B502*B500</f>
        <v>78.091581998513917</v>
      </c>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row>
    <row r="504" spans="1:42" ht="15.75" x14ac:dyDescent="0.3">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row>
    <row r="505" spans="1:42" ht="15.75" x14ac:dyDescent="0.3">
      <c r="A505" s="6" t="s">
        <v>407</v>
      </c>
      <c r="B505" s="12">
        <f>B503*B497</f>
        <v>287923.66282852081</v>
      </c>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row>
    <row r="506" spans="1:42" ht="15.75" x14ac:dyDescent="0.3">
      <c r="A506" s="6" t="s">
        <v>408</v>
      </c>
      <c r="B506" s="12">
        <f>B505*H176/1000</f>
        <v>5807.4202792512651</v>
      </c>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row>
    <row r="507" spans="1:42" ht="15.75" x14ac:dyDescent="0.3">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row>
    <row r="508" spans="1:42" ht="15.75" x14ac:dyDescent="0.3">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row>
    <row r="509" spans="1:42" ht="15.75" x14ac:dyDescent="0.3">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row>
    <row r="510" spans="1:42" ht="15.75" x14ac:dyDescent="0.3">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row>
    <row r="511" spans="1:42" ht="15.75" x14ac:dyDescent="0.3">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row>
    <row r="512" spans="1:42" ht="15.75" x14ac:dyDescent="0.3">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row>
    <row r="513" spans="1:42" ht="15.75" x14ac:dyDescent="0.3">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row>
    <row r="514" spans="1:42" ht="15.75" x14ac:dyDescent="0.3">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row>
    <row r="515" spans="1:42" ht="15.75" x14ac:dyDescent="0.3">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row>
    <row r="516" spans="1:42" ht="15.75" x14ac:dyDescent="0.3">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row>
    <row r="517" spans="1:42" ht="15.75" x14ac:dyDescent="0.3">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row>
    <row r="518" spans="1:42" ht="15.75" x14ac:dyDescent="0.3">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row>
    <row r="519" spans="1:42" ht="15.75" x14ac:dyDescent="0.3">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row>
    <row r="520" spans="1:42" ht="15.75" x14ac:dyDescent="0.3">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row>
    <row r="521" spans="1:42" ht="15.75" x14ac:dyDescent="0.3">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row>
    <row r="522" spans="1:42" ht="15.75" x14ac:dyDescent="0.3">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row>
    <row r="523" spans="1:42" ht="15.75" x14ac:dyDescent="0.3">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row>
    <row r="524" spans="1:42" ht="15.75" x14ac:dyDescent="0.3">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row>
    <row r="525" spans="1:42" ht="15.75" x14ac:dyDescent="0.3">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row>
    <row r="526" spans="1:42" ht="15.75" x14ac:dyDescent="0.3">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row>
  </sheetData>
  <phoneticPr fontId="13" type="noConversion"/>
  <pageMargins left="0.7" right="0.7" top="0.75" bottom="0.75" header="0.3" footer="0.3"/>
  <pageSetup scale="2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9347-AC91-4E64-B69F-D8A4152C262D}">
  <dimension ref="B2:N27"/>
  <sheetViews>
    <sheetView showGridLines="0" zoomScale="80" workbookViewId="0">
      <selection activeCell="B142" sqref="B142"/>
    </sheetView>
  </sheetViews>
  <sheetFormatPr defaultRowHeight="15" x14ac:dyDescent="0.25"/>
  <cols>
    <col min="1" max="1" width="3" customWidth="1"/>
    <col min="2" max="2" width="29.85546875" bestFit="1" customWidth="1"/>
    <col min="7" max="7" width="12.7109375" bestFit="1" customWidth="1"/>
    <col min="9" max="9" width="29.85546875" customWidth="1"/>
    <col min="14" max="14" width="12.7109375" bestFit="1" customWidth="1"/>
  </cols>
  <sheetData>
    <row r="2" spans="2:14" x14ac:dyDescent="0.25">
      <c r="B2" s="42" t="s">
        <v>432</v>
      </c>
      <c r="C2" s="43">
        <v>2021</v>
      </c>
      <c r="D2" s="43">
        <v>2022</v>
      </c>
      <c r="E2" s="43">
        <v>2023</v>
      </c>
      <c r="F2" s="43">
        <v>2024</v>
      </c>
      <c r="G2" s="42" t="s">
        <v>522</v>
      </c>
      <c r="H2" s="44"/>
      <c r="I2" s="42" t="str">
        <f>B2</f>
        <v>MXN m</v>
      </c>
      <c r="J2" s="43">
        <f>C2</f>
        <v>2021</v>
      </c>
      <c r="K2" s="43">
        <f>D2</f>
        <v>2022</v>
      </c>
      <c r="L2" s="43">
        <f>E2</f>
        <v>2023</v>
      </c>
      <c r="M2" s="43">
        <f>F2</f>
        <v>2024</v>
      </c>
      <c r="N2" s="42" t="s">
        <v>522</v>
      </c>
    </row>
    <row r="3" spans="2:14" x14ac:dyDescent="0.25">
      <c r="B3" s="45" t="s">
        <v>541</v>
      </c>
      <c r="C3" s="46">
        <f>Master!B456</f>
        <v>7.19</v>
      </c>
      <c r="D3" s="47"/>
      <c r="E3" s="47"/>
      <c r="F3" s="47"/>
      <c r="G3" s="48"/>
      <c r="H3" s="49"/>
      <c r="I3" s="45" t="s">
        <v>433</v>
      </c>
      <c r="J3" s="46">
        <f ca="1">Master!G416</f>
        <v>5.9147329027152704</v>
      </c>
      <c r="K3" s="46">
        <f ca="1">Master!H416</f>
        <v>5.6086918748676764</v>
      </c>
      <c r="L3" s="46">
        <f ca="1">Master!I416</f>
        <v>5.7457058427617795</v>
      </c>
      <c r="M3" s="46">
        <f ca="1">Master!J416</f>
        <v>4.967158275077268</v>
      </c>
      <c r="N3" s="48"/>
    </row>
    <row r="4" spans="2:14" x14ac:dyDescent="0.25">
      <c r="B4" s="82" t="s">
        <v>434</v>
      </c>
      <c r="C4" s="83">
        <f>Master!G405</f>
        <v>3189.4</v>
      </c>
      <c r="D4" s="83">
        <f>Master!H405</f>
        <v>3189.4</v>
      </c>
      <c r="E4" s="83">
        <f>Master!I405</f>
        <v>3189.4</v>
      </c>
      <c r="F4" s="83">
        <f>Master!J405</f>
        <v>3189.4</v>
      </c>
      <c r="G4" s="84"/>
      <c r="H4" s="49"/>
      <c r="I4" s="82" t="s">
        <v>249</v>
      </c>
      <c r="J4" s="92">
        <f ca="1">Master!G417</f>
        <v>8.0148714099858029</v>
      </c>
      <c r="K4" s="92">
        <f ca="1">Master!H417</f>
        <v>7.2975986111090982</v>
      </c>
      <c r="L4" s="92">
        <f ca="1">Master!I417</f>
        <v>7.3496993785442983</v>
      </c>
      <c r="M4" s="92">
        <f ca="1">Master!J417</f>
        <v>6.4322697703969611</v>
      </c>
      <c r="N4" s="84"/>
    </row>
    <row r="5" spans="2:14" x14ac:dyDescent="0.25">
      <c r="B5" s="50" t="s">
        <v>435</v>
      </c>
      <c r="C5" s="51">
        <f>Master!G406</f>
        <v>22931.786000000004</v>
      </c>
      <c r="D5" s="51">
        <f>Master!H406</f>
        <v>22931.786000000004</v>
      </c>
      <c r="E5" s="51">
        <f>Master!I406</f>
        <v>22931.786000000004</v>
      </c>
      <c r="F5" s="51">
        <f>Master!J406</f>
        <v>22931.786000000004</v>
      </c>
      <c r="G5" s="52"/>
      <c r="H5" s="49"/>
      <c r="I5" s="50" t="s">
        <v>253</v>
      </c>
      <c r="J5" s="53">
        <f ca="1">Master!G418</f>
        <v>11.930715180364839</v>
      </c>
      <c r="K5" s="53">
        <f ca="1">Master!H418</f>
        <v>9.4230026407157865</v>
      </c>
      <c r="L5" s="53">
        <f ca="1">Master!I418</f>
        <v>11.230994907710821</v>
      </c>
      <c r="M5" s="53">
        <f ca="1">Master!J418</f>
        <v>9.6126314624301479</v>
      </c>
      <c r="N5" s="52"/>
    </row>
    <row r="6" spans="2:14" x14ac:dyDescent="0.25">
      <c r="B6" s="82" t="s">
        <v>88</v>
      </c>
      <c r="C6" s="83">
        <f ca="1">Master!G408</f>
        <v>1353.3272402552245</v>
      </c>
      <c r="D6" s="83">
        <f ca="1">Master!H408</f>
        <v>1353.3272402552245</v>
      </c>
      <c r="E6" s="83">
        <f ca="1">Master!I408</f>
        <v>1353.3272402552245</v>
      </c>
      <c r="F6" s="83">
        <f ca="1">Master!J408</f>
        <v>1353.3272402552245</v>
      </c>
      <c r="G6" s="84"/>
      <c r="H6" s="49"/>
      <c r="I6" s="82" t="s">
        <v>436</v>
      </c>
      <c r="J6" s="92">
        <f ca="1">Master!G420</f>
        <v>122.34799876582774</v>
      </c>
      <c r="K6" s="92">
        <f ca="1">Master!H420</f>
        <v>114.60445751240248</v>
      </c>
      <c r="L6" s="92">
        <f ca="1">Master!I420</f>
        <v>108.85675118978656</v>
      </c>
      <c r="M6" s="92">
        <f ca="1">Master!J420</f>
        <v>102.69569629438647</v>
      </c>
      <c r="N6" s="84"/>
    </row>
    <row r="7" spans="2:14" x14ac:dyDescent="0.25">
      <c r="B7" s="50" t="s">
        <v>498</v>
      </c>
      <c r="C7" s="51">
        <f>Master!G407</f>
        <v>47502</v>
      </c>
      <c r="D7" s="51">
        <f>Master!H407</f>
        <v>44370.883999999998</v>
      </c>
      <c r="E7" s="51">
        <f>Master!I407</f>
        <v>52806.02637671087</v>
      </c>
      <c r="F7" s="51">
        <f ca="1">Master!J407</f>
        <v>52585.580260845061</v>
      </c>
      <c r="G7" s="52"/>
      <c r="H7" s="49"/>
      <c r="I7" s="50"/>
      <c r="J7" s="51"/>
      <c r="K7" s="51"/>
      <c r="L7" s="51"/>
      <c r="M7" s="51"/>
      <c r="N7" s="52"/>
    </row>
    <row r="8" spans="2:14" x14ac:dyDescent="0.25">
      <c r="B8" s="85" t="s">
        <v>523</v>
      </c>
      <c r="C8" s="86">
        <f>Master!G412</f>
        <v>15583</v>
      </c>
      <c r="D8" s="86">
        <f>Master!H412</f>
        <v>13099</v>
      </c>
      <c r="E8" s="86">
        <f>Master!I412</f>
        <v>12408.009992929532</v>
      </c>
      <c r="F8" s="86">
        <f>Master!J412</f>
        <v>14173.116176290361</v>
      </c>
      <c r="G8" s="84"/>
      <c r="H8" s="49"/>
      <c r="I8" s="82"/>
      <c r="J8" s="83"/>
      <c r="K8" s="83"/>
      <c r="L8" s="83"/>
      <c r="M8" s="83"/>
      <c r="N8" s="84"/>
    </row>
    <row r="9" spans="2:14" x14ac:dyDescent="0.25">
      <c r="B9" s="56" t="s">
        <v>437</v>
      </c>
      <c r="C9" s="57">
        <f ca="1">Master!G413</f>
        <v>87370.113240255232</v>
      </c>
      <c r="D9" s="57">
        <f ca="1">Master!H413</f>
        <v>81754.997240255223</v>
      </c>
      <c r="E9" s="57">
        <f ca="1">Master!I413</f>
        <v>89499.149609895627</v>
      </c>
      <c r="F9" s="57">
        <f ca="1">Master!J413</f>
        <v>91043.809677390658</v>
      </c>
      <c r="G9" s="59"/>
      <c r="H9" s="49"/>
      <c r="I9" s="56" t="s">
        <v>438</v>
      </c>
      <c r="J9" s="90">
        <f>Master!G426</f>
        <v>73.518164914080529</v>
      </c>
      <c r="K9" s="90">
        <f>Master!H426</f>
        <v>-60.289878924846761</v>
      </c>
      <c r="L9" s="90">
        <f>Master!I426</f>
        <v>-15.801673486299718</v>
      </c>
      <c r="M9" s="90">
        <f ca="1">Master!J426</f>
        <v>26.76898465489398</v>
      </c>
      <c r="N9" s="59"/>
    </row>
    <row r="10" spans="2:14" x14ac:dyDescent="0.25">
      <c r="B10" s="82" t="s">
        <v>528</v>
      </c>
      <c r="C10" s="83">
        <f ca="1">Master!G414</f>
        <v>4331.6863282228669</v>
      </c>
      <c r="D10" s="83">
        <f ca="1">Master!H414</f>
        <v>4053.2968388822615</v>
      </c>
      <c r="E10" s="83">
        <f ca="1">Master!I414</f>
        <v>4437.2409325679537</v>
      </c>
      <c r="F10" s="83">
        <f ca="1">Master!J414</f>
        <v>4513.8229884675584</v>
      </c>
      <c r="G10" s="84"/>
      <c r="H10" s="49"/>
      <c r="I10" s="82" t="s">
        <v>439</v>
      </c>
      <c r="J10" s="93">
        <f>Master!G427</f>
        <v>8.1851452826221194E-2</v>
      </c>
      <c r="K10" s="93">
        <f>Master!H427</f>
        <v>0.10088791165241114</v>
      </c>
      <c r="L10" s="93">
        <f>Master!I427</f>
        <v>-6.1274877443513107E-2</v>
      </c>
      <c r="M10" s="93">
        <f ca="1">Master!J427</f>
        <v>9.6131245889789791E-3</v>
      </c>
      <c r="N10" s="84"/>
    </row>
    <row r="11" spans="2:14" x14ac:dyDescent="0.25">
      <c r="B11" s="56"/>
      <c r="C11" s="57"/>
      <c r="D11" s="90"/>
      <c r="E11" s="57"/>
      <c r="F11" s="57"/>
      <c r="G11" s="59"/>
      <c r="H11" s="49"/>
      <c r="I11" s="56"/>
      <c r="J11" s="57"/>
      <c r="K11" s="57"/>
      <c r="L11" s="57"/>
      <c r="M11" s="57"/>
      <c r="N11" s="59"/>
    </row>
    <row r="12" spans="2:14" x14ac:dyDescent="0.25">
      <c r="B12" s="87" t="s">
        <v>440</v>
      </c>
      <c r="C12" s="83"/>
      <c r="D12" s="83"/>
      <c r="E12" s="83"/>
      <c r="F12" s="83"/>
      <c r="G12" s="84"/>
      <c r="H12" s="49"/>
      <c r="I12" s="87" t="s">
        <v>441</v>
      </c>
      <c r="J12" s="83"/>
      <c r="K12" s="83"/>
      <c r="L12" s="83"/>
      <c r="M12" s="83"/>
      <c r="N12" s="84"/>
    </row>
    <row r="13" spans="2:14" x14ac:dyDescent="0.25">
      <c r="B13" s="56" t="s">
        <v>35</v>
      </c>
      <c r="C13" s="57">
        <f>Master!G253</f>
        <v>12137</v>
      </c>
      <c r="D13" s="57">
        <f>Master!H253</f>
        <v>12241</v>
      </c>
      <c r="E13" s="57">
        <f>Master!I253</f>
        <v>13417.174795692434</v>
      </c>
      <c r="F13" s="57">
        <f>Master!J253</f>
        <v>15475.789021420806</v>
      </c>
      <c r="G13" s="58">
        <f>(F13/D13)^(1/2)-1</f>
        <v>0.12439252890497832</v>
      </c>
      <c r="H13" s="49"/>
      <c r="I13" s="56" t="s">
        <v>227</v>
      </c>
      <c r="J13" s="57"/>
      <c r="K13" s="57">
        <f>Master!H21</f>
        <v>29701</v>
      </c>
      <c r="L13" s="57">
        <f>Master!I21</f>
        <v>35111</v>
      </c>
      <c r="M13" s="57">
        <f>Master!J21</f>
        <v>37111</v>
      </c>
      <c r="N13" s="58">
        <f>(M13/K13)^(1/2)-1</f>
        <v>0.11780434302002751</v>
      </c>
    </row>
    <row r="14" spans="2:14" x14ac:dyDescent="0.25">
      <c r="B14" s="82" t="s">
        <v>442</v>
      </c>
      <c r="C14" s="83">
        <f>Master!G297</f>
        <v>10901</v>
      </c>
      <c r="D14" s="83">
        <f>Master!H297</f>
        <v>11203</v>
      </c>
      <c r="E14" s="83">
        <f>Master!I297</f>
        <v>12177.253109313169</v>
      </c>
      <c r="F14" s="83">
        <f>Master!J297</f>
        <v>14154.227500904704</v>
      </c>
      <c r="G14" s="88">
        <f>(F14/D14)^(1/2)-1</f>
        <v>0.12402486330313733</v>
      </c>
      <c r="H14" s="55"/>
      <c r="I14" s="82" t="s">
        <v>443</v>
      </c>
      <c r="J14" s="94"/>
      <c r="K14" s="94">
        <f>Master!H71</f>
        <v>1.22</v>
      </c>
      <c r="L14" s="94">
        <f>Master!I71</f>
        <v>1.196</v>
      </c>
      <c r="M14" s="94">
        <f>Master!J71</f>
        <v>1.216</v>
      </c>
      <c r="N14" s="88"/>
    </row>
    <row r="15" spans="2:14" x14ac:dyDescent="0.25">
      <c r="B15" s="50" t="s">
        <v>287</v>
      </c>
      <c r="C15" s="51">
        <f>Master!G300</f>
        <v>4884</v>
      </c>
      <c r="D15" s="51">
        <f>Master!H300</f>
        <v>3917</v>
      </c>
      <c r="E15" s="51">
        <f>Master!I300</f>
        <v>5313.1114860240396</v>
      </c>
      <c r="F15" s="51">
        <f>Master!J300</f>
        <v>6157.3856578006116</v>
      </c>
      <c r="G15" s="54">
        <f>(F15/D15)^(1/2)-1</f>
        <v>0.2537801568031024</v>
      </c>
      <c r="H15" s="55"/>
      <c r="I15" s="56" t="s">
        <v>453</v>
      </c>
      <c r="J15" s="57"/>
      <c r="K15" s="57">
        <f>Master!H274*1000</f>
        <v>18230.407510532703</v>
      </c>
      <c r="L15" s="57">
        <f>Master!I274*1000</f>
        <v>19415.383998717327</v>
      </c>
      <c r="M15" s="57">
        <f>Master!J274*1000</f>
        <v>20289.076278659606</v>
      </c>
      <c r="N15" s="58">
        <f>(M15/K15)^(1/2)-1</f>
        <v>5.4952605570506075E-2</v>
      </c>
    </row>
    <row r="16" spans="2:14" x14ac:dyDescent="0.25">
      <c r="B16" s="82" t="s">
        <v>525</v>
      </c>
      <c r="C16" s="83">
        <f>Master!G303</f>
        <v>6017</v>
      </c>
      <c r="D16" s="83">
        <f>Master!H303</f>
        <v>7286</v>
      </c>
      <c r="E16" s="83">
        <f>Master!I303</f>
        <v>6864.1416232891297</v>
      </c>
      <c r="F16" s="83">
        <f>Master!J303</f>
        <v>7996.8418431040927</v>
      </c>
      <c r="G16" s="88">
        <f>(F16/D16)^(1/2)-1</f>
        <v>4.7646267352001503E-2</v>
      </c>
      <c r="H16" s="55"/>
      <c r="I16" s="82" t="s">
        <v>445</v>
      </c>
      <c r="J16" s="83"/>
      <c r="K16" s="83">
        <f>Master!H248*1000</f>
        <v>10990.090120422432</v>
      </c>
      <c r="L16" s="83">
        <f>Master!I248*1000</f>
        <v>13662.880037709167</v>
      </c>
      <c r="M16" s="83">
        <f>Master!J248*1000</f>
        <v>14209.395239217534</v>
      </c>
      <c r="N16" s="88">
        <f>(M16/K16)^(1/2)-1</f>
        <v>0.13706991869453655</v>
      </c>
    </row>
    <row r="17" spans="2:14" x14ac:dyDescent="0.25">
      <c r="B17" s="56" t="s">
        <v>444</v>
      </c>
      <c r="C17" s="57"/>
      <c r="D17" s="57">
        <f>Master!H346</f>
        <v>766.46000000000015</v>
      </c>
      <c r="E17" s="57">
        <f>Master!I346</f>
        <v>1669.2840000000001</v>
      </c>
      <c r="F17" s="57">
        <f>Master!J346</f>
        <v>3171.3192000000004</v>
      </c>
      <c r="G17" s="58">
        <f>(F17/D17)^(1/2)-1</f>
        <v>1.034113728979293</v>
      </c>
      <c r="H17" s="55"/>
      <c r="I17" s="50"/>
      <c r="J17" s="51"/>
      <c r="K17" s="51"/>
      <c r="L17" s="51"/>
      <c r="M17" s="51"/>
      <c r="N17" s="54"/>
    </row>
    <row r="18" spans="2:14" x14ac:dyDescent="0.25">
      <c r="B18" s="82" t="s">
        <v>36</v>
      </c>
      <c r="C18" s="83"/>
      <c r="D18" s="83">
        <f>-Master!H311</f>
        <v>3061</v>
      </c>
      <c r="E18" s="83">
        <f>-Master!I311</f>
        <v>4300</v>
      </c>
      <c r="F18" s="83">
        <f ca="1">-Master!J311</f>
        <v>4215.664265502237</v>
      </c>
      <c r="G18" s="84"/>
      <c r="H18" s="49"/>
      <c r="I18" s="82" t="s">
        <v>456</v>
      </c>
      <c r="J18" s="83"/>
      <c r="K18" s="83">
        <f>Master!H278</f>
        <v>1169.9413090593616</v>
      </c>
      <c r="L18" s="83">
        <f>Master!I278</f>
        <v>1170.7823026583244</v>
      </c>
      <c r="M18" s="83">
        <f>Master!J278</f>
        <v>1196.1327137936235</v>
      </c>
      <c r="N18" s="88">
        <f>(M18/K18)^(1/2)-1</f>
        <v>1.113151420209646E-2</v>
      </c>
    </row>
    <row r="19" spans="2:14" x14ac:dyDescent="0.25">
      <c r="B19" s="50" t="s">
        <v>46</v>
      </c>
      <c r="C19" s="51"/>
      <c r="D19" s="51">
        <f>-Master!H327</f>
        <v>1145</v>
      </c>
      <c r="E19" s="51">
        <f>-Master!I327</f>
        <v>2300</v>
      </c>
      <c r="F19" s="51">
        <f ca="1">-Master!J327</f>
        <v>389.4122617360519</v>
      </c>
      <c r="G19" s="52"/>
      <c r="H19" s="55"/>
      <c r="I19" s="56" t="s">
        <v>446</v>
      </c>
      <c r="J19" s="91"/>
      <c r="K19" s="91">
        <f>K16/Master!H176</f>
        <v>544.87308480031879</v>
      </c>
      <c r="L19" s="91">
        <f>L16/Master!I176</f>
        <v>767.57753020838015</v>
      </c>
      <c r="M19" s="91">
        <f>M16/Master!J176</f>
        <v>790.37686278882711</v>
      </c>
      <c r="N19" s="58">
        <f>(M19/K19)^(1/2)-1</f>
        <v>0.20439635208782536</v>
      </c>
    </row>
    <row r="20" spans="2:14" x14ac:dyDescent="0.25">
      <c r="B20" s="85" t="s">
        <v>447</v>
      </c>
      <c r="C20" s="86"/>
      <c r="D20" s="86">
        <f>Master!H359</f>
        <v>2313.5399999999991</v>
      </c>
      <c r="E20" s="86">
        <f>Master!I359</f>
        <v>-1405.1423767108699</v>
      </c>
      <c r="F20" s="86">
        <f ca="1">Master!J359</f>
        <v>220.44611586580396</v>
      </c>
      <c r="G20" s="89"/>
      <c r="H20" s="55"/>
      <c r="I20" s="85"/>
      <c r="J20" s="95"/>
      <c r="K20" s="95"/>
      <c r="L20" s="95"/>
      <c r="M20" s="95"/>
      <c r="N20" s="95"/>
    </row>
    <row r="22" spans="2:14" x14ac:dyDescent="0.25">
      <c r="D22" s="27" t="s">
        <v>526</v>
      </c>
      <c r="E22" s="27"/>
      <c r="F22" s="27"/>
    </row>
    <row r="27" spans="2:14" x14ac:dyDescent="0.25">
      <c r="E27" s="2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4345C-179C-467A-929F-248812F7BC05}">
  <dimension ref="A1:AJ357"/>
  <sheetViews>
    <sheetView zoomScale="72" zoomScaleNormal="72" workbookViewId="0">
      <pane xSplit="1" ySplit="1" topLeftCell="D89" activePane="bottomRight" state="frozen"/>
      <selection pane="topRight" activeCell="B1" sqref="B1"/>
      <selection pane="bottomLeft" activeCell="A2" sqref="A2"/>
      <selection pane="bottomRight" activeCell="AB122" sqref="AB122"/>
    </sheetView>
  </sheetViews>
  <sheetFormatPr defaultRowHeight="15" x14ac:dyDescent="0.25"/>
  <cols>
    <col min="1" max="1" width="40.85546875" customWidth="1"/>
    <col min="2" max="2" width="10.28515625" customWidth="1"/>
    <col min="3" max="3" width="10.42578125" customWidth="1"/>
    <col min="9" max="9" width="9.140625" bestFit="1" customWidth="1"/>
    <col min="10" max="10" width="10.42578125" customWidth="1"/>
    <col min="11" max="11" width="10.7109375" bestFit="1" customWidth="1"/>
    <col min="14" max="14" width="10" customWidth="1"/>
  </cols>
  <sheetData>
    <row r="1" spans="1:36" ht="27" customHeight="1" x14ac:dyDescent="0.25">
      <c r="A1" s="223"/>
      <c r="B1" s="224" t="s">
        <v>293</v>
      </c>
      <c r="C1" s="224" t="s">
        <v>294</v>
      </c>
      <c r="D1" s="225">
        <v>2021</v>
      </c>
      <c r="E1" s="226" t="s">
        <v>579</v>
      </c>
      <c r="F1" s="226" t="s">
        <v>519</v>
      </c>
      <c r="G1" s="224" t="s">
        <v>295</v>
      </c>
      <c r="H1" s="226" t="s">
        <v>577</v>
      </c>
      <c r="I1" s="226" t="s">
        <v>558</v>
      </c>
      <c r="J1" s="224" t="s">
        <v>578</v>
      </c>
      <c r="K1" s="225">
        <v>2022</v>
      </c>
      <c r="L1" s="226" t="s">
        <v>666</v>
      </c>
      <c r="M1" s="226" t="s">
        <v>667</v>
      </c>
      <c r="N1" s="224" t="s">
        <v>296</v>
      </c>
      <c r="O1" s="226" t="s">
        <v>717</v>
      </c>
      <c r="P1" s="226" t="s">
        <v>718</v>
      </c>
      <c r="Q1" s="224" t="s">
        <v>297</v>
      </c>
      <c r="R1" s="225">
        <v>2023</v>
      </c>
      <c r="S1" s="16"/>
      <c r="T1" s="6"/>
      <c r="U1" s="6"/>
      <c r="V1" s="6"/>
      <c r="W1" s="6"/>
      <c r="X1" s="6"/>
      <c r="Y1" s="6"/>
      <c r="Z1" s="6"/>
      <c r="AA1" s="6"/>
      <c r="AB1" s="6"/>
      <c r="AC1" s="224" t="s">
        <v>557</v>
      </c>
      <c r="AD1" s="6"/>
      <c r="AE1" s="6"/>
      <c r="AJ1" s="160" t="s">
        <v>558</v>
      </c>
    </row>
    <row r="2" spans="1:36" x14ac:dyDescent="0.25">
      <c r="A2" s="6"/>
      <c r="B2" s="227"/>
      <c r="C2" s="227"/>
      <c r="D2" s="227"/>
      <c r="E2" s="227"/>
      <c r="F2" s="227"/>
      <c r="G2" s="227"/>
      <c r="H2" s="227"/>
      <c r="I2" s="227"/>
      <c r="J2" s="227"/>
      <c r="K2" s="227"/>
      <c r="L2" s="227"/>
      <c r="M2" s="227"/>
      <c r="N2" s="227"/>
      <c r="O2" s="227"/>
      <c r="P2" s="227"/>
      <c r="Q2" s="227"/>
      <c r="R2" s="227"/>
      <c r="S2" s="16"/>
      <c r="T2" s="6"/>
      <c r="U2" s="6"/>
      <c r="V2" s="6"/>
      <c r="W2" s="6"/>
      <c r="X2" s="6"/>
      <c r="Y2" s="6"/>
      <c r="Z2" s="6"/>
      <c r="AA2" s="6"/>
      <c r="AB2" s="6"/>
      <c r="AC2" s="227"/>
      <c r="AD2" s="6"/>
      <c r="AE2" s="6"/>
      <c r="AJ2" s="134"/>
    </row>
    <row r="3" spans="1:36" x14ac:dyDescent="0.25">
      <c r="A3" s="228" t="s">
        <v>569</v>
      </c>
      <c r="B3" s="229"/>
      <c r="C3" s="229"/>
      <c r="D3" s="229"/>
      <c r="E3" s="229"/>
      <c r="F3" s="229"/>
      <c r="G3" s="229"/>
      <c r="H3" s="229" t="str">
        <f>H$1</f>
        <v>Q3 22</v>
      </c>
      <c r="I3" s="229" t="str">
        <f t="shared" ref="I3:R3" si="0">I$1</f>
        <v>Q4 22</v>
      </c>
      <c r="J3" s="229" t="str">
        <f t="shared" si="0"/>
        <v>H2 2022</v>
      </c>
      <c r="K3" s="229">
        <f t="shared" si="0"/>
        <v>2022</v>
      </c>
      <c r="L3" s="229" t="str">
        <f t="shared" si="0"/>
        <v>Q1 23</v>
      </c>
      <c r="M3" s="229" t="str">
        <f t="shared" si="0"/>
        <v>Q2 23</v>
      </c>
      <c r="N3" s="229" t="str">
        <f t="shared" si="0"/>
        <v>H1 2023</v>
      </c>
      <c r="O3" s="229" t="str">
        <f t="shared" si="0"/>
        <v>Q3 23</v>
      </c>
      <c r="P3" s="229" t="str">
        <f t="shared" si="0"/>
        <v>Q4 23</v>
      </c>
      <c r="Q3" s="229" t="str">
        <f t="shared" si="0"/>
        <v>H2 2023</v>
      </c>
      <c r="R3" s="229">
        <f t="shared" si="0"/>
        <v>2023</v>
      </c>
      <c r="S3" s="16"/>
      <c r="T3" s="6"/>
      <c r="U3" s="6"/>
      <c r="V3" s="6"/>
      <c r="W3" s="6"/>
      <c r="X3" s="6"/>
      <c r="Y3" s="6"/>
      <c r="Z3" s="6"/>
      <c r="AA3" s="6"/>
      <c r="AB3" s="6"/>
      <c r="AC3" s="229" t="str">
        <f>AC$1</f>
        <v>Q4 22e</v>
      </c>
      <c r="AD3" s="6"/>
      <c r="AE3" s="6"/>
      <c r="AJ3" s="135" t="s">
        <v>558</v>
      </c>
    </row>
    <row r="4" spans="1:36" x14ac:dyDescent="0.25">
      <c r="A4" s="20" t="s">
        <v>514</v>
      </c>
      <c r="B4" s="230"/>
      <c r="C4" s="230"/>
      <c r="D4" s="230"/>
      <c r="E4" s="230"/>
      <c r="F4" s="230"/>
      <c r="G4" s="231">
        <v>29090</v>
      </c>
      <c r="H4" s="232">
        <f>SUM(H5:H8)</f>
        <v>29163</v>
      </c>
      <c r="I4" s="232">
        <f>SUM(I5:I8)</f>
        <v>29727</v>
      </c>
      <c r="J4" s="232">
        <f t="shared" ref="J4:K4" si="1">SUM(J5:J8)</f>
        <v>29727</v>
      </c>
      <c r="K4" s="232">
        <f t="shared" si="1"/>
        <v>29727</v>
      </c>
      <c r="L4" s="232">
        <f>SUM(L5:L8)</f>
        <v>34116</v>
      </c>
      <c r="M4" s="232">
        <f>SUM(M5:M8)</f>
        <v>34240</v>
      </c>
      <c r="N4" s="232">
        <f t="shared" ref="N4" si="2">SUM(N5:N8)</f>
        <v>34240</v>
      </c>
      <c r="O4" s="232">
        <f>SUM(O5:O8)</f>
        <v>34669</v>
      </c>
      <c r="P4" s="232">
        <f t="shared" ref="P4:R4" si="3">SUM(P5:P8)</f>
        <v>35110.999999999993</v>
      </c>
      <c r="Q4" s="232">
        <f t="shared" si="3"/>
        <v>35110.999999999993</v>
      </c>
      <c r="R4" s="232">
        <f t="shared" si="3"/>
        <v>35110.999999999993</v>
      </c>
      <c r="S4" s="16"/>
      <c r="T4" s="6"/>
      <c r="U4" s="6"/>
      <c r="V4" s="6"/>
      <c r="W4" s="6"/>
      <c r="X4" s="6"/>
      <c r="Y4" s="6"/>
      <c r="Z4" s="6"/>
      <c r="AA4" s="6"/>
      <c r="AB4" s="6"/>
      <c r="AC4" s="232">
        <f>Master!H21-1150</f>
        <v>28551</v>
      </c>
      <c r="AD4" s="6"/>
      <c r="AE4" s="6"/>
      <c r="AJ4" s="137">
        <v>29727</v>
      </c>
    </row>
    <row r="5" spans="1:36" x14ac:dyDescent="0.25">
      <c r="A5" s="233" t="s">
        <v>12</v>
      </c>
      <c r="B5" s="234"/>
      <c r="C5" s="234"/>
      <c r="D5" s="234"/>
      <c r="E5" s="234"/>
      <c r="F5" s="234"/>
      <c r="G5" s="234"/>
      <c r="H5" s="235">
        <v>11235</v>
      </c>
      <c r="I5" s="235">
        <v>11243</v>
      </c>
      <c r="J5" s="236">
        <f>I5</f>
        <v>11243</v>
      </c>
      <c r="K5" s="236">
        <f>J5</f>
        <v>11243</v>
      </c>
      <c r="L5" s="235">
        <v>11254</v>
      </c>
      <c r="M5" s="235">
        <v>11262</v>
      </c>
      <c r="N5" s="236">
        <f>M5</f>
        <v>11262</v>
      </c>
      <c r="O5" s="235">
        <v>11306</v>
      </c>
      <c r="P5" s="234">
        <f>Q5</f>
        <v>11353</v>
      </c>
      <c r="Q5" s="234">
        <f>R5</f>
        <v>11353</v>
      </c>
      <c r="R5" s="234">
        <f>Master!I4</f>
        <v>11353</v>
      </c>
      <c r="S5" s="234"/>
      <c r="T5" s="12"/>
      <c r="U5" s="12"/>
      <c r="V5" s="12"/>
      <c r="W5" s="12"/>
      <c r="X5" s="12"/>
      <c r="Y5" s="12"/>
      <c r="Z5" s="12"/>
      <c r="AA5" s="12"/>
      <c r="AB5" s="6"/>
      <c r="AC5" s="234"/>
      <c r="AD5" s="6"/>
      <c r="AE5" s="6"/>
      <c r="AJ5" s="143">
        <v>11243</v>
      </c>
    </row>
    <row r="6" spans="1:36" x14ac:dyDescent="0.25">
      <c r="A6" s="233" t="s">
        <v>603</v>
      </c>
      <c r="B6" s="234"/>
      <c r="C6" s="234"/>
      <c r="D6" s="234"/>
      <c r="E6" s="234"/>
      <c r="F6" s="234"/>
      <c r="G6" s="234"/>
      <c r="H6" s="235">
        <v>7606</v>
      </c>
      <c r="I6" s="235">
        <v>7622</v>
      </c>
      <c r="J6" s="236">
        <f t="shared" ref="J6:K6" si="4">I6</f>
        <v>7622</v>
      </c>
      <c r="K6" s="236">
        <f t="shared" si="4"/>
        <v>7622</v>
      </c>
      <c r="L6" s="235">
        <f>7535+1486</f>
        <v>9021</v>
      </c>
      <c r="M6" s="235">
        <f>7581+1486</f>
        <v>9067</v>
      </c>
      <c r="N6" s="236">
        <f t="shared" ref="N6:N8" si="5">M6</f>
        <v>9067</v>
      </c>
      <c r="O6" s="235">
        <f>7626+1486</f>
        <v>9112</v>
      </c>
      <c r="P6" s="234">
        <f t="shared" ref="P6:Q6" si="6">Q6</f>
        <v>9155.335099999993</v>
      </c>
      <c r="Q6" s="234">
        <f t="shared" si="6"/>
        <v>9155.335099999993</v>
      </c>
      <c r="R6" s="234">
        <f>Master!I15+Master!I12+Master!I7+Master!I10+Master!I13+Master!I17+Master!I11+Master!I18</f>
        <v>9155.335099999993</v>
      </c>
      <c r="S6" s="234"/>
      <c r="T6" s="12"/>
      <c r="U6" s="12"/>
      <c r="V6" s="12"/>
      <c r="W6" s="12"/>
      <c r="X6" s="12"/>
      <c r="Y6" s="12"/>
      <c r="Z6" s="12"/>
      <c r="AA6" s="12"/>
      <c r="AB6" s="6"/>
      <c r="AC6" s="234"/>
      <c r="AD6" s="6"/>
      <c r="AE6" s="6"/>
      <c r="AJ6" s="143">
        <v>7622</v>
      </c>
    </row>
    <row r="7" spans="1:36" x14ac:dyDescent="0.25">
      <c r="A7" s="233" t="s">
        <v>561</v>
      </c>
      <c r="B7" s="234"/>
      <c r="C7" s="234"/>
      <c r="D7" s="234"/>
      <c r="E7" s="234"/>
      <c r="F7" s="234"/>
      <c r="G7" s="234"/>
      <c r="H7" s="235">
        <v>5413</v>
      </c>
      <c r="I7" s="235">
        <v>5416</v>
      </c>
      <c r="J7" s="236">
        <f t="shared" ref="J7:K7" si="7">I7</f>
        <v>5416</v>
      </c>
      <c r="K7" s="236">
        <f t="shared" si="7"/>
        <v>5416</v>
      </c>
      <c r="L7" s="235">
        <v>5423</v>
      </c>
      <c r="M7" s="235">
        <v>5432</v>
      </c>
      <c r="N7" s="236">
        <f t="shared" si="5"/>
        <v>5432</v>
      </c>
      <c r="O7" s="235">
        <v>5432</v>
      </c>
      <c r="P7" s="234">
        <f>Q7</f>
        <v>5440.4494500000001</v>
      </c>
      <c r="Q7" s="234">
        <f>R7</f>
        <v>5440.4494500000001</v>
      </c>
      <c r="R7" s="234">
        <f>Master!I5+Master!I16+Master!I14</f>
        <v>5440.4494500000001</v>
      </c>
      <c r="S7" s="234"/>
      <c r="T7" s="12"/>
      <c r="U7" s="12"/>
      <c r="V7" s="12"/>
      <c r="W7" s="12"/>
      <c r="X7" s="12"/>
      <c r="Y7" s="12"/>
      <c r="Z7" s="12"/>
      <c r="AA7" s="12"/>
      <c r="AB7" s="6"/>
      <c r="AC7" s="234"/>
      <c r="AD7" s="6"/>
      <c r="AE7" s="6"/>
      <c r="AJ7" s="143">
        <v>5416</v>
      </c>
    </row>
    <row r="8" spans="1:36" x14ac:dyDescent="0.25">
      <c r="A8" s="233" t="s">
        <v>562</v>
      </c>
      <c r="B8" s="234"/>
      <c r="C8" s="234"/>
      <c r="D8" s="234"/>
      <c r="E8" s="234"/>
      <c r="F8" s="234"/>
      <c r="G8" s="234"/>
      <c r="H8" s="235">
        <v>4909</v>
      </c>
      <c r="I8" s="235">
        <v>5446</v>
      </c>
      <c r="J8" s="236">
        <f t="shared" ref="J8:K8" si="8">I8</f>
        <v>5446</v>
      </c>
      <c r="K8" s="236">
        <f t="shared" si="8"/>
        <v>5446</v>
      </c>
      <c r="L8" s="235">
        <v>8418</v>
      </c>
      <c r="M8" s="235">
        <v>8479</v>
      </c>
      <c r="N8" s="236">
        <f t="shared" si="5"/>
        <v>8479</v>
      </c>
      <c r="O8" s="235">
        <v>8819</v>
      </c>
      <c r="P8" s="234">
        <f t="shared" ref="P8:Q8" si="9">Q8</f>
        <v>9162.2154499999997</v>
      </c>
      <c r="Q8" s="234">
        <f t="shared" si="9"/>
        <v>9162.2154499999997</v>
      </c>
      <c r="R8" s="234">
        <f>Master!I8+Master!I6+Master!I9+Master!I20</f>
        <v>9162.2154499999997</v>
      </c>
      <c r="S8" s="234"/>
      <c r="T8" s="12"/>
      <c r="U8" s="12"/>
      <c r="V8" s="12"/>
      <c r="W8" s="12"/>
      <c r="X8" s="12"/>
      <c r="Y8" s="12"/>
      <c r="Z8" s="12"/>
      <c r="AA8" s="12"/>
      <c r="AB8" s="6"/>
      <c r="AC8" s="234"/>
      <c r="AD8" s="6"/>
      <c r="AE8" s="6"/>
      <c r="AJ8" s="143">
        <v>5446</v>
      </c>
    </row>
    <row r="9" spans="1:36" x14ac:dyDescent="0.25">
      <c r="A9" s="6"/>
      <c r="B9" s="234"/>
      <c r="C9" s="234"/>
      <c r="D9" s="234"/>
      <c r="E9" s="234"/>
      <c r="F9" s="234"/>
      <c r="G9" s="234"/>
      <c r="H9" s="234"/>
      <c r="I9" s="234"/>
      <c r="J9" s="234"/>
      <c r="K9" s="234"/>
      <c r="L9" s="234"/>
      <c r="M9" s="234"/>
      <c r="N9" s="234"/>
      <c r="O9" s="234"/>
      <c r="P9" s="234"/>
      <c r="Q9" s="234"/>
      <c r="R9" s="234"/>
      <c r="S9" s="234"/>
      <c r="T9" s="12"/>
      <c r="U9" s="12"/>
      <c r="V9" s="12"/>
      <c r="W9" s="12"/>
      <c r="X9" s="12"/>
      <c r="Y9" s="12"/>
      <c r="Z9" s="12"/>
      <c r="AA9" s="12"/>
      <c r="AB9" s="6"/>
      <c r="AC9" s="234"/>
      <c r="AD9" s="6"/>
      <c r="AE9" s="6"/>
      <c r="AJ9" s="138"/>
    </row>
    <row r="10" spans="1:36" x14ac:dyDescent="0.25">
      <c r="A10" s="20" t="s">
        <v>173</v>
      </c>
      <c r="B10" s="230"/>
      <c r="C10" s="230"/>
      <c r="D10" s="230"/>
      <c r="E10" s="230"/>
      <c r="F10" s="230"/>
      <c r="G10" s="232"/>
      <c r="H10" s="237">
        <v>1.23</v>
      </c>
      <c r="I10" s="237">
        <v>1.22</v>
      </c>
      <c r="J10" s="238">
        <f t="shared" ref="J10:L11" si="10">J16/J4</f>
        <v>1.2207091196555322</v>
      </c>
      <c r="K10" s="238">
        <f t="shared" si="10"/>
        <v>1.2207091196555322</v>
      </c>
      <c r="L10" s="239">
        <f t="shared" si="10"/>
        <v>1.1977957556571697</v>
      </c>
      <c r="M10" s="239">
        <f t="shared" ref="M10:O10" si="11">M16/M4</f>
        <v>1.2088785046728971</v>
      </c>
      <c r="N10" s="238">
        <f t="shared" si="11"/>
        <v>1.2088785046728971</v>
      </c>
      <c r="O10" s="238">
        <f t="shared" si="11"/>
        <v>1.1956214485563472</v>
      </c>
      <c r="P10" s="238">
        <f t="shared" ref="P10:R10" si="12">P16/P4</f>
        <v>1.1907341035928911</v>
      </c>
      <c r="Q10" s="238">
        <f t="shared" si="12"/>
        <v>1.1907341035928911</v>
      </c>
      <c r="R10" s="238">
        <f t="shared" si="12"/>
        <v>1.1907341035928911</v>
      </c>
      <c r="S10" s="234"/>
      <c r="T10" s="12"/>
      <c r="U10" s="12"/>
      <c r="V10" s="12"/>
      <c r="W10" s="12"/>
      <c r="X10" s="12"/>
      <c r="Y10" s="12"/>
      <c r="Z10" s="12"/>
      <c r="AA10" s="12"/>
      <c r="AB10" s="6"/>
      <c r="AC10" s="232"/>
      <c r="AD10" s="6"/>
      <c r="AE10" s="6"/>
      <c r="AJ10" s="144">
        <v>1.22</v>
      </c>
    </row>
    <row r="11" spans="1:36" x14ac:dyDescent="0.25">
      <c r="A11" s="233" t="s">
        <v>12</v>
      </c>
      <c r="B11" s="234"/>
      <c r="C11" s="234"/>
      <c r="D11" s="234"/>
      <c r="E11" s="234"/>
      <c r="F11" s="234"/>
      <c r="G11" s="234"/>
      <c r="H11" s="240">
        <v>1.34</v>
      </c>
      <c r="I11" s="240">
        <v>1.34</v>
      </c>
      <c r="J11" s="241">
        <f t="shared" si="10"/>
        <v>1.34</v>
      </c>
      <c r="K11" s="241">
        <f t="shared" si="10"/>
        <v>1.34</v>
      </c>
      <c r="L11" s="241">
        <f t="shared" si="10"/>
        <v>1.3459214501510575</v>
      </c>
      <c r="M11" s="241">
        <f t="shared" ref="M11:O14" si="13">M17/M5</f>
        <v>1.346386077073344</v>
      </c>
      <c r="N11" s="241">
        <f t="shared" si="13"/>
        <v>1.346386077073344</v>
      </c>
      <c r="O11" s="241">
        <f t="shared" si="13"/>
        <v>1.3047939147355387</v>
      </c>
      <c r="P11" s="241">
        <f t="shared" ref="P11:R11" si="14">P17/P5</f>
        <v>1.3</v>
      </c>
      <c r="Q11" s="241">
        <f t="shared" si="14"/>
        <v>1.3</v>
      </c>
      <c r="R11" s="241">
        <f t="shared" si="14"/>
        <v>1.3</v>
      </c>
      <c r="S11" s="234"/>
      <c r="T11" s="12"/>
      <c r="U11" s="12"/>
      <c r="V11" s="12"/>
      <c r="W11" s="12"/>
      <c r="X11" s="12"/>
      <c r="Y11" s="12"/>
      <c r="Z11" s="12"/>
      <c r="AA11" s="12"/>
      <c r="AB11" s="6"/>
      <c r="AC11" s="234"/>
      <c r="AD11" s="6"/>
      <c r="AE11" s="6"/>
      <c r="AJ11" s="145">
        <v>1.34</v>
      </c>
    </row>
    <row r="12" spans="1:36" x14ac:dyDescent="0.25">
      <c r="A12" s="233" t="s">
        <v>603</v>
      </c>
      <c r="B12" s="234"/>
      <c r="C12" s="234"/>
      <c r="D12" s="234"/>
      <c r="E12" s="234"/>
      <c r="F12" s="234"/>
      <c r="G12" s="234"/>
      <c r="H12" s="240">
        <v>1.1599999999999999</v>
      </c>
      <c r="I12" s="240">
        <v>1.1599999999999999</v>
      </c>
      <c r="J12" s="241">
        <f t="shared" ref="J12" si="15">J18/J6</f>
        <v>1.1599999999999999</v>
      </c>
      <c r="K12" s="241">
        <f t="shared" ref="K12:L14" si="16">K18/K6</f>
        <v>1.1599999999999999</v>
      </c>
      <c r="L12" s="241">
        <f t="shared" si="16"/>
        <v>1.121383438643166</v>
      </c>
      <c r="M12" s="241">
        <f t="shared" ref="M12:O12" si="17">M18/M6</f>
        <v>1.1550678283886622</v>
      </c>
      <c r="N12" s="241">
        <f t="shared" si="13"/>
        <v>1.1550678283886622</v>
      </c>
      <c r="O12" s="241">
        <f t="shared" si="17"/>
        <v>1.1574846356453028</v>
      </c>
      <c r="P12" s="241">
        <f t="shared" ref="P12:R12" si="18">P18/P6</f>
        <v>1.159903814334442</v>
      </c>
      <c r="Q12" s="241">
        <f t="shared" si="18"/>
        <v>1.159903814334442</v>
      </c>
      <c r="R12" s="241">
        <f t="shared" si="18"/>
        <v>1.159903814334442</v>
      </c>
      <c r="S12" s="234"/>
      <c r="T12" s="12"/>
      <c r="U12" s="12"/>
      <c r="V12" s="12"/>
      <c r="W12" s="12"/>
      <c r="X12" s="12"/>
      <c r="Y12" s="12"/>
      <c r="Z12" s="12"/>
      <c r="AA12" s="12"/>
      <c r="AB12" s="6"/>
      <c r="AC12" s="234"/>
      <c r="AD12" s="6"/>
      <c r="AE12" s="6"/>
      <c r="AJ12" s="145">
        <v>1.1599999999999999</v>
      </c>
    </row>
    <row r="13" spans="1:36" x14ac:dyDescent="0.25">
      <c r="A13" s="233" t="s">
        <v>561</v>
      </c>
      <c r="B13" s="234"/>
      <c r="C13" s="234"/>
      <c r="D13" s="234"/>
      <c r="E13" s="234"/>
      <c r="F13" s="234"/>
      <c r="G13" s="234"/>
      <c r="H13" s="240">
        <v>1.19</v>
      </c>
      <c r="I13" s="240">
        <v>1.2</v>
      </c>
      <c r="J13" s="241">
        <f t="shared" ref="J13" si="19">J19/J7</f>
        <v>1.2</v>
      </c>
      <c r="K13" s="241">
        <f t="shared" si="16"/>
        <v>1.2</v>
      </c>
      <c r="L13" s="241">
        <f t="shared" si="16"/>
        <v>1.1969389636732435</v>
      </c>
      <c r="M13" s="241">
        <f t="shared" ref="M13:O13" si="20">M19/M7</f>
        <v>1.1975331369661266</v>
      </c>
      <c r="N13" s="241">
        <f t="shared" si="13"/>
        <v>1.1975331369661266</v>
      </c>
      <c r="O13" s="241">
        <f t="shared" si="20"/>
        <v>1.2019513991163475</v>
      </c>
      <c r="P13" s="241">
        <f t="shared" ref="P13:R13" si="21">P19/P7</f>
        <v>1.2050000000000001</v>
      </c>
      <c r="Q13" s="241">
        <f t="shared" si="21"/>
        <v>1.2050000000000001</v>
      </c>
      <c r="R13" s="241">
        <f t="shared" si="21"/>
        <v>1.2050000000000001</v>
      </c>
      <c r="S13" s="234"/>
      <c r="T13" s="12"/>
      <c r="U13" s="12"/>
      <c r="V13" s="12"/>
      <c r="W13" s="12"/>
      <c r="X13" s="12"/>
      <c r="Y13" s="12"/>
      <c r="Z13" s="12"/>
      <c r="AA13" s="12"/>
      <c r="AB13" s="6"/>
      <c r="AC13" s="234"/>
      <c r="AD13" s="6"/>
      <c r="AE13" s="6"/>
      <c r="AJ13" s="145">
        <v>1.2</v>
      </c>
    </row>
    <row r="14" spans="1:36" x14ac:dyDescent="0.25">
      <c r="A14" s="233" t="s">
        <v>562</v>
      </c>
      <c r="B14" s="234"/>
      <c r="C14" s="234"/>
      <c r="D14" s="234"/>
      <c r="E14" s="234"/>
      <c r="F14" s="234"/>
      <c r="G14" s="234"/>
      <c r="H14" s="240">
        <v>1.1100000000000001</v>
      </c>
      <c r="I14" s="240">
        <v>1.08</v>
      </c>
      <c r="J14" s="241">
        <f t="shared" ref="J14" si="22">J20/J8</f>
        <v>1.08</v>
      </c>
      <c r="K14" s="241">
        <f t="shared" si="16"/>
        <v>1.08</v>
      </c>
      <c r="L14" s="241">
        <f t="shared" si="16"/>
        <v>1.0822047992397243</v>
      </c>
      <c r="M14" s="241">
        <f t="shared" ref="M14:O14" si="23">M20/M8</f>
        <v>1.091048472697252</v>
      </c>
      <c r="N14" s="241">
        <f t="shared" si="13"/>
        <v>1.091048472697252</v>
      </c>
      <c r="O14" s="241">
        <f t="shared" si="23"/>
        <v>1.0911667989567979</v>
      </c>
      <c r="P14" s="241">
        <f t="shared" ref="P14:R14" si="24">P20/P8</f>
        <v>1.0776777160375552</v>
      </c>
      <c r="Q14" s="241">
        <f t="shared" si="24"/>
        <v>1.0776777160375552</v>
      </c>
      <c r="R14" s="241">
        <f t="shared" si="24"/>
        <v>1.0776777160375552</v>
      </c>
      <c r="S14" s="234"/>
      <c r="T14" s="12"/>
      <c r="U14" s="12"/>
      <c r="V14" s="12"/>
      <c r="W14" s="12"/>
      <c r="X14" s="12"/>
      <c r="Y14" s="12"/>
      <c r="Z14" s="12"/>
      <c r="AA14" s="12"/>
      <c r="AB14" s="6"/>
      <c r="AC14" s="234"/>
      <c r="AD14" s="6"/>
      <c r="AE14" s="6"/>
      <c r="AJ14" s="145">
        <v>1.08</v>
      </c>
    </row>
    <row r="15" spans="1:36" x14ac:dyDescent="0.25">
      <c r="A15" s="6"/>
      <c r="B15" s="234"/>
      <c r="C15" s="234"/>
      <c r="D15" s="234"/>
      <c r="E15" s="234"/>
      <c r="F15" s="234"/>
      <c r="G15" s="234"/>
      <c r="H15" s="234"/>
      <c r="I15" s="234"/>
      <c r="J15" s="234"/>
      <c r="K15" s="234"/>
      <c r="L15" s="234"/>
      <c r="M15" s="234"/>
      <c r="N15" s="234"/>
      <c r="O15" s="234"/>
      <c r="P15" s="234"/>
      <c r="Q15" s="234"/>
      <c r="R15" s="234"/>
      <c r="S15" s="234"/>
      <c r="T15" s="12"/>
      <c r="U15" s="12"/>
      <c r="V15" s="12"/>
      <c r="W15" s="12"/>
      <c r="X15" s="12"/>
      <c r="Y15" s="12"/>
      <c r="Z15" s="12"/>
      <c r="AA15" s="12"/>
      <c r="AB15" s="6"/>
      <c r="AC15" s="234"/>
      <c r="AD15" s="6"/>
      <c r="AE15" s="6"/>
      <c r="AJ15" s="138"/>
    </row>
    <row r="16" spans="1:36" x14ac:dyDescent="0.25">
      <c r="A16" s="20" t="s">
        <v>564</v>
      </c>
      <c r="B16" s="230"/>
      <c r="C16" s="230"/>
      <c r="D16" s="230"/>
      <c r="E16" s="230"/>
      <c r="F16" s="230"/>
      <c r="G16" s="232"/>
      <c r="H16" s="232">
        <f>SUM(H17:H20)</f>
        <v>35768.32</v>
      </c>
      <c r="I16" s="232">
        <f>SUM(I17:I20)</f>
        <v>36288.020000000004</v>
      </c>
      <c r="J16" s="232">
        <f t="shared" ref="J16:L16" si="25">SUM(J17:J20)</f>
        <v>36288.020000000004</v>
      </c>
      <c r="K16" s="232">
        <f t="shared" si="25"/>
        <v>36288.020000000004</v>
      </c>
      <c r="L16" s="232">
        <f t="shared" si="25"/>
        <v>40864</v>
      </c>
      <c r="M16" s="232">
        <f t="shared" ref="M16:R16" si="26">SUM(M17:M20)</f>
        <v>41392</v>
      </c>
      <c r="N16" s="232">
        <f t="shared" si="26"/>
        <v>41392</v>
      </c>
      <c r="O16" s="232">
        <f t="shared" si="26"/>
        <v>41451</v>
      </c>
      <c r="P16" s="232">
        <f t="shared" si="26"/>
        <v>41807.865111249994</v>
      </c>
      <c r="Q16" s="232">
        <f t="shared" si="26"/>
        <v>41807.865111249994</v>
      </c>
      <c r="R16" s="232">
        <f t="shared" si="26"/>
        <v>41807.865111249994</v>
      </c>
      <c r="S16" s="234"/>
      <c r="T16" s="12"/>
      <c r="U16" s="12"/>
      <c r="V16" s="12"/>
      <c r="W16" s="12"/>
      <c r="X16" s="12"/>
      <c r="Y16" s="12"/>
      <c r="Z16" s="12"/>
      <c r="AA16" s="12"/>
      <c r="AB16" s="6"/>
      <c r="AC16" s="234"/>
      <c r="AD16" s="6"/>
      <c r="AE16" s="6"/>
      <c r="AJ16" s="137">
        <v>36288.020000000004</v>
      </c>
    </row>
    <row r="17" spans="1:36" x14ac:dyDescent="0.25">
      <c r="A17" s="233" t="s">
        <v>12</v>
      </c>
      <c r="B17" s="234"/>
      <c r="C17" s="234"/>
      <c r="D17" s="234"/>
      <c r="E17" s="234"/>
      <c r="F17" s="234"/>
      <c r="G17" s="234"/>
      <c r="H17" s="234">
        <f>H11*H5</f>
        <v>15054.900000000001</v>
      </c>
      <c r="I17" s="234">
        <f>I11*I5</f>
        <v>15065.62</v>
      </c>
      <c r="J17" s="236">
        <f>I17</f>
        <v>15065.62</v>
      </c>
      <c r="K17" s="236">
        <f>J17</f>
        <v>15065.62</v>
      </c>
      <c r="L17" s="235">
        <v>15147</v>
      </c>
      <c r="M17" s="235">
        <v>15163</v>
      </c>
      <c r="N17" s="236">
        <f>M17</f>
        <v>15163</v>
      </c>
      <c r="O17" s="235">
        <v>14752</v>
      </c>
      <c r="P17" s="234">
        <f t="shared" ref="P17:Q20" si="27">Q17</f>
        <v>14758.9</v>
      </c>
      <c r="Q17" s="234">
        <f t="shared" si="27"/>
        <v>14758.9</v>
      </c>
      <c r="R17" s="234">
        <f>Master!I30</f>
        <v>14758.9</v>
      </c>
      <c r="S17" s="234"/>
      <c r="T17" s="12"/>
      <c r="U17" s="12"/>
      <c r="V17" s="12"/>
      <c r="W17" s="12"/>
      <c r="X17" s="12"/>
      <c r="Y17" s="12"/>
      <c r="Z17" s="12"/>
      <c r="AA17" s="12"/>
      <c r="AB17" s="6"/>
      <c r="AC17" s="234"/>
      <c r="AD17" s="6"/>
      <c r="AE17" s="6"/>
      <c r="AJ17" s="138">
        <v>15065.62</v>
      </c>
    </row>
    <row r="18" spans="1:36" x14ac:dyDescent="0.25">
      <c r="A18" s="233" t="s">
        <v>603</v>
      </c>
      <c r="B18" s="234"/>
      <c r="C18" s="234"/>
      <c r="D18" s="234"/>
      <c r="E18" s="234"/>
      <c r="F18" s="234"/>
      <c r="G18" s="234"/>
      <c r="H18" s="234">
        <f t="shared" ref="H18:I20" si="28">H12*H6</f>
        <v>8822.9599999999991</v>
      </c>
      <c r="I18" s="234">
        <f t="shared" si="28"/>
        <v>8841.5199999999986</v>
      </c>
      <c r="J18" s="236">
        <f t="shared" ref="J18:K18" si="29">I18</f>
        <v>8841.5199999999986</v>
      </c>
      <c r="K18" s="236">
        <f t="shared" si="29"/>
        <v>8841.5199999999986</v>
      </c>
      <c r="L18" s="235">
        <f>8439+1677</f>
        <v>10116</v>
      </c>
      <c r="M18" s="235">
        <f>8795+1678</f>
        <v>10473</v>
      </c>
      <c r="N18" s="236">
        <f t="shared" ref="N18:N20" si="30">M18</f>
        <v>10473</v>
      </c>
      <c r="O18" s="235">
        <f>8857+1690</f>
        <v>10547</v>
      </c>
      <c r="P18" s="234">
        <f t="shared" si="27"/>
        <v>10619.308103999992</v>
      </c>
      <c r="Q18" s="234">
        <f t="shared" si="27"/>
        <v>10619.308103999992</v>
      </c>
      <c r="R18" s="234">
        <f>Master!I33+Master!I36+Master!I38+Master!I39+Master!I41+Master!I43+Master!I44+Master!I37</f>
        <v>10619.308103999992</v>
      </c>
      <c r="S18" s="234"/>
      <c r="T18" s="12"/>
      <c r="U18" s="12"/>
      <c r="V18" s="12"/>
      <c r="W18" s="12"/>
      <c r="X18" s="12"/>
      <c r="Y18" s="12"/>
      <c r="Z18" s="12"/>
      <c r="AA18" s="12"/>
      <c r="AB18" s="6"/>
      <c r="AC18" s="234"/>
      <c r="AD18" s="6"/>
      <c r="AE18" s="6"/>
      <c r="AJ18" s="138">
        <v>8841.5199999999986</v>
      </c>
    </row>
    <row r="19" spans="1:36" x14ac:dyDescent="0.25">
      <c r="A19" s="233" t="s">
        <v>561</v>
      </c>
      <c r="B19" s="234"/>
      <c r="C19" s="234"/>
      <c r="D19" s="234"/>
      <c r="E19" s="234"/>
      <c r="F19" s="234"/>
      <c r="G19" s="234"/>
      <c r="H19" s="234">
        <f t="shared" si="28"/>
        <v>6441.4699999999993</v>
      </c>
      <c r="I19" s="234">
        <f t="shared" si="28"/>
        <v>6499.2</v>
      </c>
      <c r="J19" s="236">
        <f t="shared" ref="J19:K19" si="31">I19</f>
        <v>6499.2</v>
      </c>
      <c r="K19" s="236">
        <f t="shared" si="31"/>
        <v>6499.2</v>
      </c>
      <c r="L19" s="235">
        <v>6491</v>
      </c>
      <c r="M19" s="235">
        <v>6505</v>
      </c>
      <c r="N19" s="236">
        <f t="shared" si="30"/>
        <v>6505</v>
      </c>
      <c r="O19" s="235">
        <v>6529</v>
      </c>
      <c r="P19" s="234">
        <f t="shared" si="27"/>
        <v>6555.7415872500005</v>
      </c>
      <c r="Q19" s="234">
        <f t="shared" si="27"/>
        <v>6555.7415872500005</v>
      </c>
      <c r="R19" s="234">
        <f>Master!I31+Master!I40+Master!I42</f>
        <v>6555.7415872500005</v>
      </c>
      <c r="S19" s="234"/>
      <c r="T19" s="12"/>
      <c r="U19" s="12"/>
      <c r="V19" s="12"/>
      <c r="W19" s="12"/>
      <c r="X19" s="12"/>
      <c r="Y19" s="12"/>
      <c r="Z19" s="12"/>
      <c r="AA19" s="12"/>
      <c r="AB19" s="6"/>
      <c r="AC19" s="234"/>
      <c r="AD19" s="6"/>
      <c r="AE19" s="6"/>
      <c r="AJ19" s="138">
        <v>6499.2</v>
      </c>
    </row>
    <row r="20" spans="1:36" x14ac:dyDescent="0.25">
      <c r="A20" s="233" t="s">
        <v>562</v>
      </c>
      <c r="B20" s="234"/>
      <c r="C20" s="234"/>
      <c r="D20" s="234"/>
      <c r="E20" s="234"/>
      <c r="F20" s="234"/>
      <c r="G20" s="234"/>
      <c r="H20" s="234">
        <f t="shared" si="28"/>
        <v>5448.9900000000007</v>
      </c>
      <c r="I20" s="234">
        <f t="shared" si="28"/>
        <v>5881.68</v>
      </c>
      <c r="J20" s="236">
        <f t="shared" ref="J20:K20" si="32">I20</f>
        <v>5881.68</v>
      </c>
      <c r="K20" s="236">
        <f t="shared" si="32"/>
        <v>5881.68</v>
      </c>
      <c r="L20" s="235">
        <v>9110</v>
      </c>
      <c r="M20" s="235">
        <v>9251</v>
      </c>
      <c r="N20" s="236">
        <f t="shared" si="30"/>
        <v>9251</v>
      </c>
      <c r="O20" s="235">
        <v>9623</v>
      </c>
      <c r="P20" s="234">
        <f t="shared" si="27"/>
        <v>9873.9154200000012</v>
      </c>
      <c r="Q20" s="234">
        <f t="shared" si="27"/>
        <v>9873.9154200000012</v>
      </c>
      <c r="R20" s="234">
        <f>Master!I32+Master!I34+Master!I35</f>
        <v>9873.9154200000012</v>
      </c>
      <c r="S20" s="234"/>
      <c r="T20" s="12"/>
      <c r="U20" s="12"/>
      <c r="V20" s="12"/>
      <c r="W20" s="12"/>
      <c r="X20" s="12"/>
      <c r="Y20" s="12"/>
      <c r="Z20" s="12"/>
      <c r="AA20" s="12"/>
      <c r="AB20" s="6"/>
      <c r="AC20" s="234"/>
      <c r="AD20" s="6"/>
      <c r="AE20" s="6"/>
      <c r="AJ20" s="138">
        <v>5881.68</v>
      </c>
    </row>
    <row r="21" spans="1:36" x14ac:dyDescent="0.25">
      <c r="A21" s="6"/>
      <c r="B21" s="234"/>
      <c r="C21" s="234"/>
      <c r="D21" s="234"/>
      <c r="E21" s="234"/>
      <c r="F21" s="234"/>
      <c r="G21" s="234"/>
      <c r="H21" s="234"/>
      <c r="I21" s="234"/>
      <c r="J21" s="234"/>
      <c r="K21" s="234"/>
      <c r="L21" s="234"/>
      <c r="M21" s="234"/>
      <c r="N21" s="234"/>
      <c r="O21" s="234"/>
      <c r="P21" s="234"/>
      <c r="Q21" s="234"/>
      <c r="R21" s="234"/>
      <c r="S21" s="234"/>
      <c r="T21" s="12"/>
      <c r="U21" s="12"/>
      <c r="V21" s="12"/>
      <c r="W21" s="12"/>
      <c r="X21" s="12"/>
      <c r="Y21" s="12"/>
      <c r="Z21" s="12"/>
      <c r="AA21" s="12"/>
      <c r="AB21" s="6"/>
      <c r="AC21" s="234"/>
      <c r="AD21" s="6"/>
      <c r="AE21" s="6"/>
      <c r="AJ21" s="138"/>
    </row>
    <row r="22" spans="1:36" x14ac:dyDescent="0.25">
      <c r="A22" s="6"/>
      <c r="B22" s="234"/>
      <c r="C22" s="234"/>
      <c r="D22" s="234"/>
      <c r="E22" s="234"/>
      <c r="F22" s="234"/>
      <c r="G22" s="234"/>
      <c r="H22" s="234"/>
      <c r="I22" s="234"/>
      <c r="J22" s="234"/>
      <c r="K22" s="234"/>
      <c r="L22" s="234"/>
      <c r="M22" s="234"/>
      <c r="N22" s="234"/>
      <c r="O22" s="234"/>
      <c r="P22" s="234"/>
      <c r="Q22" s="234"/>
      <c r="R22" s="234"/>
      <c r="S22" s="234"/>
      <c r="T22" s="12"/>
      <c r="U22" s="12"/>
      <c r="V22" s="12"/>
      <c r="W22" s="12"/>
      <c r="X22" s="12"/>
      <c r="Y22" s="12"/>
      <c r="Z22" s="12"/>
      <c r="AA22" s="12"/>
      <c r="AB22" s="6"/>
      <c r="AC22" s="234"/>
      <c r="AD22" s="6"/>
      <c r="AE22" s="6"/>
      <c r="AJ22" s="138"/>
    </row>
    <row r="23" spans="1:36" x14ac:dyDescent="0.25">
      <c r="A23" s="6"/>
      <c r="B23" s="234"/>
      <c r="C23" s="234"/>
      <c r="D23" s="234"/>
      <c r="E23" s="234"/>
      <c r="F23" s="234"/>
      <c r="G23" s="234"/>
      <c r="H23" s="234"/>
      <c r="I23" s="234"/>
      <c r="J23" s="234"/>
      <c r="K23" s="234"/>
      <c r="L23" s="234"/>
      <c r="M23" s="234"/>
      <c r="N23" s="234"/>
      <c r="O23" s="234"/>
      <c r="P23" s="234"/>
      <c r="Q23" s="234"/>
      <c r="R23" s="234"/>
      <c r="S23" s="234"/>
      <c r="T23" s="12"/>
      <c r="U23" s="12"/>
      <c r="V23" s="12"/>
      <c r="W23" s="12"/>
      <c r="X23" s="12"/>
      <c r="Y23" s="12"/>
      <c r="Z23" s="12"/>
      <c r="AA23" s="12"/>
      <c r="AB23" s="6"/>
      <c r="AC23" s="234"/>
      <c r="AD23" s="6"/>
      <c r="AE23" s="6"/>
      <c r="AJ23" s="138"/>
    </row>
    <row r="24" spans="1:36" x14ac:dyDescent="0.25">
      <c r="A24" s="20" t="s">
        <v>466</v>
      </c>
      <c r="B24" s="232"/>
      <c r="C24" s="232"/>
      <c r="D24" s="232"/>
      <c r="E24" s="232"/>
      <c r="F24" s="232"/>
      <c r="G24" s="232"/>
      <c r="H24" s="232"/>
      <c r="I24" s="232">
        <f>I4-H4</f>
        <v>564</v>
      </c>
      <c r="J24" s="234"/>
      <c r="K24" s="234"/>
      <c r="L24" s="232">
        <f>L4-K4</f>
        <v>4389</v>
      </c>
      <c r="M24" s="232">
        <f>M4-L4</f>
        <v>124</v>
      </c>
      <c r="N24" s="234"/>
      <c r="O24" s="232">
        <f>O4-N4</f>
        <v>429</v>
      </c>
      <c r="P24" s="232">
        <f>P4-O4</f>
        <v>441.99999999999272</v>
      </c>
      <c r="Q24" s="234"/>
      <c r="R24" s="234"/>
      <c r="S24" s="234"/>
      <c r="T24" s="12"/>
      <c r="U24" s="12"/>
      <c r="V24" s="12"/>
      <c r="W24" s="12"/>
      <c r="X24" s="12"/>
      <c r="Y24" s="12"/>
      <c r="Z24" s="12"/>
      <c r="AA24" s="12"/>
      <c r="AB24" s="6"/>
      <c r="AC24" s="234"/>
      <c r="AD24" s="6"/>
      <c r="AE24" s="6"/>
      <c r="AJ24" s="137">
        <v>564</v>
      </c>
    </row>
    <row r="25" spans="1:36" x14ac:dyDescent="0.25">
      <c r="A25" s="6" t="str">
        <f>A5</f>
        <v>Brazil</v>
      </c>
      <c r="B25" s="234"/>
      <c r="C25" s="234"/>
      <c r="D25" s="234"/>
      <c r="E25" s="234"/>
      <c r="F25" s="234"/>
      <c r="G25" s="234"/>
      <c r="H25" s="234"/>
      <c r="I25" s="234">
        <f>I5-H5</f>
        <v>8</v>
      </c>
      <c r="J25" s="234"/>
      <c r="K25" s="234"/>
      <c r="L25" s="234">
        <f>L5-K5</f>
        <v>11</v>
      </c>
      <c r="M25" s="234">
        <f>M5-L5</f>
        <v>8</v>
      </c>
      <c r="N25" s="234"/>
      <c r="O25" s="234">
        <f>O5-N5</f>
        <v>44</v>
      </c>
      <c r="P25" s="234">
        <f>P5-O5</f>
        <v>47</v>
      </c>
      <c r="Q25" s="234"/>
      <c r="R25" s="234"/>
      <c r="S25" s="234"/>
      <c r="T25" s="12"/>
      <c r="U25" s="12"/>
      <c r="V25" s="12"/>
      <c r="W25" s="12"/>
      <c r="X25" s="12"/>
      <c r="Y25" s="12"/>
      <c r="Z25" s="12"/>
      <c r="AA25" s="12"/>
      <c r="AB25" s="6"/>
      <c r="AC25" s="234"/>
      <c r="AD25" s="6"/>
      <c r="AE25" s="6"/>
      <c r="AJ25" s="138">
        <v>8</v>
      </c>
    </row>
    <row r="26" spans="1:36" x14ac:dyDescent="0.25">
      <c r="A26" s="6" t="str">
        <f t="shared" ref="A26:A28" si="33">A6</f>
        <v>Central America &amp; Caribbean</v>
      </c>
      <c r="B26" s="234"/>
      <c r="C26" s="234"/>
      <c r="D26" s="234"/>
      <c r="E26" s="234"/>
      <c r="F26" s="234"/>
      <c r="G26" s="234"/>
      <c r="H26" s="234"/>
      <c r="I26" s="234">
        <f t="shared" ref="I26:I28" si="34">I6-H6</f>
        <v>16</v>
      </c>
      <c r="J26" s="234"/>
      <c r="K26" s="234"/>
      <c r="L26" s="234">
        <f t="shared" ref="L26:P28" si="35">L6-K6</f>
        <v>1399</v>
      </c>
      <c r="M26" s="234">
        <f t="shared" si="35"/>
        <v>46</v>
      </c>
      <c r="N26" s="234"/>
      <c r="O26" s="234">
        <f t="shared" si="35"/>
        <v>45</v>
      </c>
      <c r="P26" s="234">
        <f t="shared" si="35"/>
        <v>43.335099999992963</v>
      </c>
      <c r="Q26" s="234"/>
      <c r="R26" s="234"/>
      <c r="S26" s="234"/>
      <c r="T26" s="12"/>
      <c r="U26" s="12"/>
      <c r="V26" s="12"/>
      <c r="W26" s="12"/>
      <c r="X26" s="12"/>
      <c r="Y26" s="12"/>
      <c r="Z26" s="12"/>
      <c r="AA26" s="12"/>
      <c r="AB26" s="6"/>
      <c r="AC26" s="234"/>
      <c r="AD26" s="6"/>
      <c r="AE26" s="6"/>
      <c r="AJ26" s="138">
        <v>16</v>
      </c>
    </row>
    <row r="27" spans="1:36" x14ac:dyDescent="0.25">
      <c r="A27" s="6" t="str">
        <f t="shared" si="33"/>
        <v>AUP</v>
      </c>
      <c r="B27" s="234"/>
      <c r="C27" s="234"/>
      <c r="D27" s="234"/>
      <c r="E27" s="234"/>
      <c r="F27" s="234"/>
      <c r="G27" s="234"/>
      <c r="H27" s="234"/>
      <c r="I27" s="234">
        <f t="shared" si="34"/>
        <v>3</v>
      </c>
      <c r="J27" s="234"/>
      <c r="K27" s="234"/>
      <c r="L27" s="234">
        <f t="shared" si="35"/>
        <v>7</v>
      </c>
      <c r="M27" s="234">
        <f t="shared" si="35"/>
        <v>9</v>
      </c>
      <c r="N27" s="234"/>
      <c r="O27" s="234">
        <f t="shared" si="35"/>
        <v>0</v>
      </c>
      <c r="P27" s="234">
        <f t="shared" si="35"/>
        <v>8.4494500000000698</v>
      </c>
      <c r="Q27" s="234"/>
      <c r="R27" s="234"/>
      <c r="S27" s="234"/>
      <c r="T27" s="12"/>
      <c r="U27" s="12"/>
      <c r="V27" s="12"/>
      <c r="W27" s="12"/>
      <c r="X27" s="12"/>
      <c r="Y27" s="12"/>
      <c r="Z27" s="12"/>
      <c r="AA27" s="12"/>
      <c r="AB27" s="6"/>
      <c r="AC27" s="234"/>
      <c r="AD27" s="6"/>
      <c r="AE27" s="6"/>
      <c r="AJ27" s="138">
        <v>3</v>
      </c>
    </row>
    <row r="28" spans="1:36" x14ac:dyDescent="0.25">
      <c r="A28" s="6" t="str">
        <f t="shared" si="33"/>
        <v>Andean region</v>
      </c>
      <c r="B28" s="234"/>
      <c r="C28" s="234"/>
      <c r="D28" s="234"/>
      <c r="E28" s="234"/>
      <c r="F28" s="234"/>
      <c r="G28" s="234"/>
      <c r="H28" s="234"/>
      <c r="I28" s="234">
        <f t="shared" si="34"/>
        <v>537</v>
      </c>
      <c r="J28" s="234"/>
      <c r="K28" s="234"/>
      <c r="L28" s="234">
        <f t="shared" si="35"/>
        <v>2972</v>
      </c>
      <c r="M28" s="234">
        <f t="shared" si="35"/>
        <v>61</v>
      </c>
      <c r="N28" s="234"/>
      <c r="O28" s="234">
        <f t="shared" si="35"/>
        <v>340</v>
      </c>
      <c r="P28" s="234">
        <f t="shared" si="35"/>
        <v>343.21544999999969</v>
      </c>
      <c r="Q28" s="234"/>
      <c r="R28" s="234"/>
      <c r="S28" s="234"/>
      <c r="T28" s="12"/>
      <c r="U28" s="12"/>
      <c r="V28" s="12"/>
      <c r="W28" s="12"/>
      <c r="X28" s="12"/>
      <c r="Y28" s="12"/>
      <c r="Z28" s="12"/>
      <c r="AA28" s="12"/>
      <c r="AB28" s="6"/>
      <c r="AC28" s="234"/>
      <c r="AD28" s="6"/>
      <c r="AE28" s="6"/>
      <c r="AJ28" s="138">
        <v>537</v>
      </c>
    </row>
    <row r="29" spans="1:36" x14ac:dyDescent="0.25">
      <c r="A29" s="6"/>
      <c r="B29" s="234"/>
      <c r="C29" s="234"/>
      <c r="D29" s="234"/>
      <c r="E29" s="234"/>
      <c r="F29" s="234"/>
      <c r="G29" s="234"/>
      <c r="H29" s="234"/>
      <c r="I29" s="234"/>
      <c r="J29" s="234"/>
      <c r="K29" s="234"/>
      <c r="L29" s="234"/>
      <c r="M29" s="234"/>
      <c r="N29" s="234"/>
      <c r="O29" s="234"/>
      <c r="P29" s="234"/>
      <c r="Q29" s="234"/>
      <c r="R29" s="234"/>
      <c r="S29" s="234"/>
      <c r="T29" s="12"/>
      <c r="U29" s="12"/>
      <c r="V29" s="12"/>
      <c r="W29" s="12"/>
      <c r="X29" s="12"/>
      <c r="Y29" s="12"/>
      <c r="Z29" s="12"/>
      <c r="AA29" s="12"/>
      <c r="AB29" s="6"/>
      <c r="AC29" s="234"/>
      <c r="AD29" s="6"/>
      <c r="AE29" s="6"/>
      <c r="AJ29" s="138"/>
    </row>
    <row r="30" spans="1:36" x14ac:dyDescent="0.25">
      <c r="A30" s="6" t="s">
        <v>602</v>
      </c>
      <c r="B30" s="234"/>
      <c r="C30" s="234"/>
      <c r="D30" s="234"/>
      <c r="E30" s="234"/>
      <c r="F30" s="234"/>
      <c r="G30" s="234"/>
      <c r="H30" s="234"/>
      <c r="I30" s="235">
        <f>I24-500</f>
        <v>64</v>
      </c>
      <c r="J30" s="234"/>
      <c r="K30" s="234"/>
      <c r="L30" s="235">
        <f>L24-1388-2980</f>
        <v>21</v>
      </c>
      <c r="M30" s="234"/>
      <c r="N30" s="234"/>
      <c r="O30" s="234"/>
      <c r="P30" s="234"/>
      <c r="Q30" s="234"/>
      <c r="R30" s="234"/>
      <c r="S30" s="234"/>
      <c r="T30" s="12"/>
      <c r="U30" s="12"/>
      <c r="V30" s="12"/>
      <c r="W30" s="12"/>
      <c r="X30" s="12"/>
      <c r="Y30" s="12"/>
      <c r="Z30" s="12"/>
      <c r="AA30" s="12"/>
      <c r="AB30" s="6"/>
      <c r="AC30" s="234"/>
      <c r="AD30" s="6"/>
      <c r="AE30" s="6"/>
      <c r="AJ30" s="138">
        <v>64</v>
      </c>
    </row>
    <row r="31" spans="1:36" x14ac:dyDescent="0.25">
      <c r="A31" s="6"/>
      <c r="B31" s="234"/>
      <c r="C31" s="234"/>
      <c r="D31" s="234"/>
      <c r="E31" s="234"/>
      <c r="F31" s="234"/>
      <c r="G31" s="234"/>
      <c r="H31" s="234"/>
      <c r="I31" s="234"/>
      <c r="J31" s="234"/>
      <c r="K31" s="234"/>
      <c r="L31" s="234"/>
      <c r="M31" s="234"/>
      <c r="N31" s="234"/>
      <c r="O31" s="234"/>
      <c r="P31" s="234"/>
      <c r="Q31" s="234"/>
      <c r="R31" s="234"/>
      <c r="S31" s="234"/>
      <c r="T31" s="12"/>
      <c r="U31" s="12"/>
      <c r="V31" s="12"/>
      <c r="W31" s="12"/>
      <c r="X31" s="12"/>
      <c r="Y31" s="12"/>
      <c r="Z31" s="12"/>
      <c r="AA31" s="12"/>
      <c r="AB31" s="6"/>
      <c r="AC31" s="234"/>
      <c r="AD31" s="6"/>
      <c r="AE31" s="6"/>
      <c r="AJ31" s="138"/>
    </row>
    <row r="32" spans="1:36" x14ac:dyDescent="0.25">
      <c r="A32" s="20" t="s">
        <v>719</v>
      </c>
      <c r="B32" s="232"/>
      <c r="C32" s="232"/>
      <c r="D32" s="232"/>
      <c r="E32" s="232"/>
      <c r="F32" s="232"/>
      <c r="G32" s="232"/>
      <c r="H32" s="232"/>
      <c r="I32" s="242">
        <f>I10/H10-1</f>
        <v>-8.1300813008130524E-3</v>
      </c>
      <c r="J32" s="234"/>
      <c r="K32" s="234"/>
      <c r="L32" s="242">
        <f>L10/I10-1</f>
        <v>-1.8200200281008438E-2</v>
      </c>
      <c r="M32" s="242">
        <f>M10/L10-1</f>
        <v>9.2526200425939731E-3</v>
      </c>
      <c r="N32" s="234"/>
      <c r="O32" s="242">
        <f>O10/M10-1</f>
        <v>-1.0966409002480471E-2</v>
      </c>
      <c r="P32" s="234"/>
      <c r="Q32" s="234"/>
      <c r="R32" s="234"/>
      <c r="S32" s="234"/>
      <c r="T32" s="12"/>
      <c r="U32" s="12"/>
      <c r="V32" s="12"/>
      <c r="W32" s="12"/>
      <c r="X32" s="12"/>
      <c r="Y32" s="12"/>
      <c r="Z32" s="12"/>
      <c r="AA32" s="12"/>
      <c r="AB32" s="6"/>
      <c r="AC32" s="234"/>
      <c r="AD32" s="6"/>
      <c r="AE32" s="6"/>
      <c r="AJ32" s="150">
        <v>-8.1300813008130524E-3</v>
      </c>
    </row>
    <row r="33" spans="1:36" x14ac:dyDescent="0.25">
      <c r="A33" s="6"/>
      <c r="B33" s="234"/>
      <c r="C33" s="234"/>
      <c r="D33" s="234"/>
      <c r="E33" s="234"/>
      <c r="F33" s="234"/>
      <c r="G33" s="234"/>
      <c r="H33" s="234"/>
      <c r="I33" s="234"/>
      <c r="J33" s="234"/>
      <c r="K33" s="234"/>
      <c r="L33" s="234"/>
      <c r="M33" s="234"/>
      <c r="N33" s="234"/>
      <c r="O33" s="234"/>
      <c r="P33" s="234"/>
      <c r="Q33" s="234"/>
      <c r="R33" s="234"/>
      <c r="S33" s="234"/>
      <c r="T33" s="12"/>
      <c r="U33" s="12"/>
      <c r="V33" s="12"/>
      <c r="W33" s="12"/>
      <c r="X33" s="12"/>
      <c r="Y33" s="12"/>
      <c r="Z33" s="12"/>
      <c r="AA33" s="12"/>
      <c r="AB33" s="6"/>
      <c r="AC33" s="234"/>
      <c r="AD33" s="6"/>
      <c r="AE33" s="6"/>
      <c r="AJ33" s="138"/>
    </row>
    <row r="34" spans="1:36" x14ac:dyDescent="0.25">
      <c r="A34" s="6"/>
      <c r="B34" s="234"/>
      <c r="C34" s="234"/>
      <c r="D34" s="234"/>
      <c r="E34" s="234"/>
      <c r="F34" s="234"/>
      <c r="G34" s="234"/>
      <c r="H34" s="234"/>
      <c r="I34" s="234"/>
      <c r="J34" s="234"/>
      <c r="K34" s="234"/>
      <c r="L34" s="234"/>
      <c r="M34" s="234"/>
      <c r="N34" s="234"/>
      <c r="O34" s="234"/>
      <c r="P34" s="234"/>
      <c r="Q34" s="234"/>
      <c r="R34" s="234"/>
      <c r="S34" s="234"/>
      <c r="T34" s="12"/>
      <c r="U34" s="12"/>
      <c r="V34" s="12"/>
      <c r="W34" s="12"/>
      <c r="X34" s="12"/>
      <c r="Y34" s="12"/>
      <c r="Z34" s="12"/>
      <c r="AA34" s="12"/>
      <c r="AB34" s="6"/>
      <c r="AC34" s="234"/>
      <c r="AD34" s="6"/>
      <c r="AE34" s="6"/>
      <c r="AJ34" s="138"/>
    </row>
    <row r="35" spans="1:36" x14ac:dyDescent="0.25">
      <c r="A35" s="6"/>
      <c r="B35" s="234"/>
      <c r="C35" s="234"/>
      <c r="D35" s="234"/>
      <c r="E35" s="234"/>
      <c r="F35" s="234"/>
      <c r="G35" s="234"/>
      <c r="H35" s="234"/>
      <c r="I35" s="234"/>
      <c r="J35" s="234"/>
      <c r="K35" s="234"/>
      <c r="L35" s="234"/>
      <c r="M35" s="234"/>
      <c r="N35" s="234"/>
      <c r="O35" s="234"/>
      <c r="P35" s="234"/>
      <c r="Q35" s="234"/>
      <c r="R35" s="234"/>
      <c r="S35" s="234"/>
      <c r="T35" s="12"/>
      <c r="U35" s="12"/>
      <c r="V35" s="12"/>
      <c r="W35" s="12"/>
      <c r="X35" s="12"/>
      <c r="Y35" s="12"/>
      <c r="Z35" s="12"/>
      <c r="AA35" s="12"/>
      <c r="AB35" s="6"/>
      <c r="AC35" s="234"/>
      <c r="AD35" s="6"/>
      <c r="AE35" s="6"/>
      <c r="AJ35" s="138"/>
    </row>
    <row r="36" spans="1:36" x14ac:dyDescent="0.25">
      <c r="A36" s="20" t="s">
        <v>700</v>
      </c>
      <c r="B36" s="232"/>
      <c r="C36" s="232"/>
      <c r="D36" s="232"/>
      <c r="E36" s="232"/>
      <c r="F36" s="232"/>
      <c r="G36" s="232"/>
      <c r="H36" s="232"/>
      <c r="I36" s="243">
        <f>I37+I38+I39+I40</f>
        <v>519.69999999999891</v>
      </c>
      <c r="J36" s="234"/>
      <c r="K36" s="234"/>
      <c r="L36" s="232">
        <f>L37+L38+L39+L40</f>
        <v>4575.9800000000005</v>
      </c>
      <c r="M36" s="232">
        <f>M37+M38+M39+M40</f>
        <v>528</v>
      </c>
      <c r="N36" s="234"/>
      <c r="O36" s="232">
        <f>O37+O38+O39+O40</f>
        <v>59</v>
      </c>
      <c r="P36" s="232">
        <f>P37+P38+P39+P40</f>
        <v>356.86511124999379</v>
      </c>
      <c r="Q36" s="234"/>
      <c r="R36" s="234"/>
      <c r="S36" s="234"/>
      <c r="T36" s="12"/>
      <c r="U36" s="12"/>
      <c r="V36" s="12"/>
      <c r="W36" s="12"/>
      <c r="X36" s="12"/>
      <c r="Y36" s="12"/>
      <c r="Z36" s="12"/>
      <c r="AA36" s="12"/>
      <c r="AB36" s="6"/>
      <c r="AC36" s="234"/>
      <c r="AD36" s="6"/>
      <c r="AE36" s="6"/>
      <c r="AJ36" s="138"/>
    </row>
    <row r="37" spans="1:36" x14ac:dyDescent="0.25">
      <c r="A37" s="6" t="str">
        <f>A17</f>
        <v>Brazil</v>
      </c>
      <c r="B37" s="234"/>
      <c r="C37" s="234"/>
      <c r="D37" s="234"/>
      <c r="E37" s="234"/>
      <c r="F37" s="234"/>
      <c r="G37" s="234"/>
      <c r="H37" s="234"/>
      <c r="I37" s="234">
        <f>I17-H17</f>
        <v>10.719999999999345</v>
      </c>
      <c r="J37" s="234"/>
      <c r="K37" s="234"/>
      <c r="L37" s="234">
        <f>L17-K17</f>
        <v>81.3799999999992</v>
      </c>
      <c r="M37" s="234">
        <f>M17-L17</f>
        <v>16</v>
      </c>
      <c r="N37" s="234"/>
      <c r="O37" s="234">
        <f>O17-N17</f>
        <v>-411</v>
      </c>
      <c r="P37" s="234">
        <f>P17-O17</f>
        <v>6.8999999999996362</v>
      </c>
      <c r="Q37" s="234"/>
      <c r="R37" s="234"/>
      <c r="S37" s="234"/>
      <c r="T37" s="12"/>
      <c r="U37" s="12"/>
      <c r="V37" s="12"/>
      <c r="W37" s="12"/>
      <c r="X37" s="12"/>
      <c r="Y37" s="12"/>
      <c r="Z37" s="12"/>
      <c r="AA37" s="12"/>
      <c r="AB37" s="6"/>
      <c r="AC37" s="234"/>
      <c r="AD37" s="6"/>
      <c r="AE37" s="6"/>
      <c r="AJ37" s="138"/>
    </row>
    <row r="38" spans="1:36" x14ac:dyDescent="0.25">
      <c r="A38" s="6" t="str">
        <f t="shared" ref="A38:A40" si="36">A18</f>
        <v>Central America &amp; Caribbean</v>
      </c>
      <c r="B38" s="234"/>
      <c r="C38" s="234"/>
      <c r="D38" s="234"/>
      <c r="E38" s="234"/>
      <c r="F38" s="234"/>
      <c r="G38" s="234"/>
      <c r="H38" s="234"/>
      <c r="I38" s="234">
        <f t="shared" ref="I38:I39" si="37">I18-H18</f>
        <v>18.559999999999491</v>
      </c>
      <c r="J38" s="234"/>
      <c r="K38" s="234"/>
      <c r="L38" s="234">
        <f t="shared" ref="L38:P40" si="38">L18-K18</f>
        <v>1274.4800000000014</v>
      </c>
      <c r="M38" s="234">
        <f t="shared" si="38"/>
        <v>357</v>
      </c>
      <c r="N38" s="234"/>
      <c r="O38" s="234">
        <f t="shared" si="38"/>
        <v>74</v>
      </c>
      <c r="P38" s="234">
        <f t="shared" si="38"/>
        <v>72.308103999992454</v>
      </c>
      <c r="Q38" s="234"/>
      <c r="R38" s="234"/>
      <c r="S38" s="234"/>
      <c r="T38" s="12"/>
      <c r="U38" s="12"/>
      <c r="V38" s="12"/>
      <c r="W38" s="12"/>
      <c r="X38" s="12"/>
      <c r="Y38" s="12"/>
      <c r="Z38" s="12"/>
      <c r="AA38" s="12"/>
      <c r="AB38" s="6"/>
      <c r="AC38" s="234"/>
      <c r="AD38" s="6"/>
      <c r="AE38" s="6"/>
      <c r="AJ38" s="138"/>
    </row>
    <row r="39" spans="1:36" x14ac:dyDescent="0.25">
      <c r="A39" s="6" t="str">
        <f t="shared" si="36"/>
        <v>AUP</v>
      </c>
      <c r="B39" s="234"/>
      <c r="C39" s="234"/>
      <c r="D39" s="234"/>
      <c r="E39" s="234"/>
      <c r="F39" s="234"/>
      <c r="G39" s="234"/>
      <c r="H39" s="234"/>
      <c r="I39" s="234">
        <f t="shared" si="37"/>
        <v>57.730000000000473</v>
      </c>
      <c r="J39" s="234"/>
      <c r="K39" s="234"/>
      <c r="L39" s="234">
        <f t="shared" si="38"/>
        <v>-8.1999999999998181</v>
      </c>
      <c r="M39" s="234">
        <f t="shared" si="38"/>
        <v>14</v>
      </c>
      <c r="N39" s="234"/>
      <c r="O39" s="234">
        <f t="shared" si="38"/>
        <v>24</v>
      </c>
      <c r="P39" s="234">
        <f t="shared" si="38"/>
        <v>26.741587250000521</v>
      </c>
      <c r="Q39" s="234"/>
      <c r="R39" s="234"/>
      <c r="S39" s="234"/>
      <c r="T39" s="12"/>
      <c r="U39" s="12"/>
      <c r="V39" s="12"/>
      <c r="W39" s="12"/>
      <c r="X39" s="12"/>
      <c r="Y39" s="12"/>
      <c r="Z39" s="12"/>
      <c r="AA39" s="12"/>
      <c r="AB39" s="6"/>
      <c r="AC39" s="234"/>
      <c r="AD39" s="6"/>
      <c r="AE39" s="6"/>
      <c r="AJ39" s="138"/>
    </row>
    <row r="40" spans="1:36" x14ac:dyDescent="0.25">
      <c r="A40" s="6" t="str">
        <f t="shared" si="36"/>
        <v>Andean region</v>
      </c>
      <c r="B40" s="234"/>
      <c r="C40" s="234"/>
      <c r="D40" s="234"/>
      <c r="E40" s="234"/>
      <c r="F40" s="234"/>
      <c r="G40" s="234"/>
      <c r="H40" s="234"/>
      <c r="I40" s="234">
        <f>I20-H20</f>
        <v>432.6899999999996</v>
      </c>
      <c r="J40" s="234"/>
      <c r="K40" s="234"/>
      <c r="L40" s="234">
        <f t="shared" si="38"/>
        <v>3228.3199999999997</v>
      </c>
      <c r="M40" s="234">
        <f t="shared" si="38"/>
        <v>141</v>
      </c>
      <c r="N40" s="234"/>
      <c r="O40" s="234">
        <f t="shared" si="38"/>
        <v>372</v>
      </c>
      <c r="P40" s="234">
        <f t="shared" si="38"/>
        <v>250.91542000000118</v>
      </c>
      <c r="Q40" s="234"/>
      <c r="R40" s="234"/>
      <c r="S40" s="234"/>
      <c r="T40" s="12"/>
      <c r="U40" s="12"/>
      <c r="V40" s="12"/>
      <c r="W40" s="12"/>
      <c r="X40" s="12"/>
      <c r="Y40" s="12"/>
      <c r="Z40" s="12"/>
      <c r="AA40" s="12"/>
      <c r="AB40" s="6"/>
      <c r="AC40" s="234"/>
      <c r="AD40" s="6"/>
      <c r="AE40" s="6"/>
      <c r="AJ40" s="138"/>
    </row>
    <row r="41" spans="1:36" x14ac:dyDescent="0.25">
      <c r="A41" s="6"/>
      <c r="B41" s="234"/>
      <c r="C41" s="234"/>
      <c r="D41" s="234"/>
      <c r="E41" s="234"/>
      <c r="F41" s="234"/>
      <c r="G41" s="234"/>
      <c r="H41" s="234"/>
      <c r="I41" s="234"/>
      <c r="J41" s="234"/>
      <c r="K41" s="234"/>
      <c r="L41" s="234"/>
      <c r="M41" s="234"/>
      <c r="N41" s="234"/>
      <c r="O41" s="234"/>
      <c r="P41" s="234"/>
      <c r="Q41" s="234"/>
      <c r="R41" s="234"/>
      <c r="S41" s="234"/>
      <c r="T41" s="12"/>
      <c r="U41" s="12"/>
      <c r="V41" s="12"/>
      <c r="W41" s="12"/>
      <c r="X41" s="12"/>
      <c r="Y41" s="12"/>
      <c r="Z41" s="12"/>
      <c r="AA41" s="12"/>
      <c r="AB41" s="6"/>
      <c r="AC41" s="234"/>
      <c r="AD41" s="6"/>
      <c r="AE41" s="6"/>
      <c r="AJ41" s="138"/>
    </row>
    <row r="42" spans="1:36" x14ac:dyDescent="0.25">
      <c r="A42" s="6" t="s">
        <v>602</v>
      </c>
      <c r="B42" s="234"/>
      <c r="C42" s="234"/>
      <c r="D42" s="234"/>
      <c r="E42" s="234"/>
      <c r="F42" s="234"/>
      <c r="G42" s="234"/>
      <c r="H42" s="234"/>
      <c r="I42" s="234">
        <f>I36-I40+((I8-500)*H14-H20)</f>
        <v>128.07999999999902</v>
      </c>
      <c r="J42" s="234"/>
      <c r="K42" s="234"/>
      <c r="L42" s="234">
        <f>L36-L40-L38+(I12*(L6-1388)-K18)+(I14*(L8-2980)-K20)</f>
        <v>77.299999999999272</v>
      </c>
      <c r="M42" s="234">
        <f>M16-L16</f>
        <v>528</v>
      </c>
      <c r="N42" s="234"/>
      <c r="O42" s="234">
        <f>O16-M16</f>
        <v>59</v>
      </c>
      <c r="P42" s="234">
        <f>P16-N16</f>
        <v>415.86511124999379</v>
      </c>
      <c r="Q42" s="234"/>
      <c r="R42" s="234"/>
      <c r="S42" s="234"/>
      <c r="T42" s="12"/>
      <c r="U42" s="12"/>
      <c r="V42" s="12"/>
      <c r="W42" s="12"/>
      <c r="X42" s="12"/>
      <c r="Y42" s="12"/>
      <c r="Z42" s="12"/>
      <c r="AA42" s="12"/>
      <c r="AB42" s="6"/>
      <c r="AC42" s="234"/>
      <c r="AD42" s="6"/>
      <c r="AE42" s="6"/>
      <c r="AJ42" s="138"/>
    </row>
    <row r="43" spans="1:36" x14ac:dyDescent="0.25">
      <c r="A43" s="6"/>
      <c r="B43" s="234"/>
      <c r="C43" s="234"/>
      <c r="D43" s="234"/>
      <c r="E43" s="234"/>
      <c r="F43" s="234"/>
      <c r="G43" s="234"/>
      <c r="H43" s="234"/>
      <c r="I43" s="234">
        <f>I42+(663-I36)</f>
        <v>271.38000000000011</v>
      </c>
      <c r="J43" s="234"/>
      <c r="K43" s="234"/>
      <c r="L43" s="234"/>
      <c r="M43" s="234"/>
      <c r="N43" s="234"/>
      <c r="O43" s="234"/>
      <c r="P43" s="234"/>
      <c r="Q43" s="234"/>
      <c r="R43" s="234"/>
      <c r="S43" s="234"/>
      <c r="T43" s="12"/>
      <c r="U43" s="12"/>
      <c r="V43" s="12"/>
      <c r="W43" s="12"/>
      <c r="X43" s="12"/>
      <c r="Y43" s="12"/>
      <c r="Z43" s="12"/>
      <c r="AA43" s="12"/>
      <c r="AB43" s="6"/>
      <c r="AC43" s="234"/>
      <c r="AD43" s="6"/>
      <c r="AE43" s="6"/>
      <c r="AJ43" s="138"/>
    </row>
    <row r="44" spans="1:36" x14ac:dyDescent="0.25">
      <c r="A44" s="20"/>
      <c r="B44" s="232"/>
      <c r="C44" s="232"/>
      <c r="D44" s="232"/>
      <c r="E44" s="232"/>
      <c r="F44" s="232"/>
      <c r="G44" s="232"/>
      <c r="H44" s="232"/>
      <c r="I44" s="242"/>
      <c r="J44" s="234"/>
      <c r="K44" s="234"/>
      <c r="L44" s="242"/>
      <c r="M44" s="234"/>
      <c r="N44" s="234"/>
      <c r="O44" s="234"/>
      <c r="P44" s="234"/>
      <c r="Q44" s="234"/>
      <c r="R44" s="234"/>
      <c r="S44" s="234"/>
      <c r="T44" s="12"/>
      <c r="U44" s="12"/>
      <c r="V44" s="12"/>
      <c r="W44" s="12"/>
      <c r="X44" s="12"/>
      <c r="Y44" s="12"/>
      <c r="Z44" s="12"/>
      <c r="AA44" s="12"/>
      <c r="AB44" s="6"/>
      <c r="AC44" s="234"/>
      <c r="AD44" s="6"/>
      <c r="AE44" s="6"/>
      <c r="AJ44" s="138"/>
    </row>
    <row r="45" spans="1:36" x14ac:dyDescent="0.25">
      <c r="A45" s="6"/>
      <c r="B45" s="234"/>
      <c r="C45" s="234"/>
      <c r="D45" s="234"/>
      <c r="E45" s="234"/>
      <c r="F45" s="234"/>
      <c r="G45" s="234"/>
      <c r="H45" s="234"/>
      <c r="I45" s="234"/>
      <c r="J45" s="234"/>
      <c r="K45" s="234"/>
      <c r="L45" s="234"/>
      <c r="M45" s="234"/>
      <c r="N45" s="234"/>
      <c r="O45" s="234"/>
      <c r="P45" s="234"/>
      <c r="Q45" s="234"/>
      <c r="R45" s="234"/>
      <c r="S45" s="234"/>
      <c r="T45" s="12"/>
      <c r="U45" s="12"/>
      <c r="V45" s="12"/>
      <c r="W45" s="12"/>
      <c r="X45" s="12"/>
      <c r="Y45" s="12"/>
      <c r="Z45" s="12"/>
      <c r="AA45" s="12"/>
      <c r="AB45" s="6"/>
      <c r="AC45" s="234"/>
      <c r="AD45" s="6"/>
      <c r="AE45" s="6"/>
      <c r="AJ45" s="138"/>
    </row>
    <row r="46" spans="1:36" x14ac:dyDescent="0.25">
      <c r="A46" s="6"/>
      <c r="B46" s="234"/>
      <c r="C46" s="234"/>
      <c r="D46" s="234"/>
      <c r="E46" s="234"/>
      <c r="F46" s="234"/>
      <c r="G46" s="234"/>
      <c r="H46" s="234"/>
      <c r="I46" s="234"/>
      <c r="J46" s="234"/>
      <c r="K46" s="234"/>
      <c r="L46" s="234"/>
      <c r="M46" s="234"/>
      <c r="N46" s="234"/>
      <c r="O46" s="234"/>
      <c r="P46" s="234"/>
      <c r="Q46" s="234"/>
      <c r="R46" s="234"/>
      <c r="S46" s="234"/>
      <c r="T46" s="12"/>
      <c r="U46" s="12"/>
      <c r="V46" s="12"/>
      <c r="W46" s="12"/>
      <c r="X46" s="12"/>
      <c r="Y46" s="12"/>
      <c r="Z46" s="12"/>
      <c r="AA46" s="12"/>
      <c r="AB46" s="6"/>
      <c r="AC46" s="234"/>
      <c r="AD46" s="6"/>
      <c r="AE46" s="6"/>
      <c r="AJ46" s="138"/>
    </row>
    <row r="47" spans="1:36" x14ac:dyDescent="0.25">
      <c r="A47" s="6"/>
      <c r="B47" s="234"/>
      <c r="C47" s="234"/>
      <c r="D47" s="234"/>
      <c r="E47" s="234"/>
      <c r="F47" s="234"/>
      <c r="G47" s="234"/>
      <c r="H47" s="234"/>
      <c r="I47" s="234"/>
      <c r="J47" s="234"/>
      <c r="K47" s="234"/>
      <c r="L47" s="234"/>
      <c r="M47" s="234"/>
      <c r="N47" s="234"/>
      <c r="O47" s="234"/>
      <c r="P47" s="234"/>
      <c r="Q47" s="234"/>
      <c r="R47" s="234"/>
      <c r="S47" s="234"/>
      <c r="T47" s="12"/>
      <c r="U47" s="12"/>
      <c r="V47" s="12"/>
      <c r="W47" s="12"/>
      <c r="X47" s="12"/>
      <c r="Y47" s="12"/>
      <c r="Z47" s="12"/>
      <c r="AA47" s="12"/>
      <c r="AB47" s="6"/>
      <c r="AC47" s="234"/>
      <c r="AD47" s="6"/>
      <c r="AE47" s="6"/>
      <c r="AJ47" s="138"/>
    </row>
    <row r="48" spans="1:36" x14ac:dyDescent="0.25">
      <c r="A48" s="6"/>
      <c r="B48" s="234"/>
      <c r="C48" s="234"/>
      <c r="D48" s="234"/>
      <c r="E48" s="234"/>
      <c r="F48" s="234"/>
      <c r="G48" s="234"/>
      <c r="H48" s="234"/>
      <c r="I48" s="234"/>
      <c r="J48" s="234"/>
      <c r="K48" s="234"/>
      <c r="L48" s="234"/>
      <c r="M48" s="234"/>
      <c r="N48" s="234"/>
      <c r="O48" s="234"/>
      <c r="P48" s="234"/>
      <c r="Q48" s="234"/>
      <c r="R48" s="234"/>
      <c r="S48" s="234"/>
      <c r="T48" s="12"/>
      <c r="U48" s="12"/>
      <c r="V48" s="12"/>
      <c r="W48" s="12"/>
      <c r="X48" s="12"/>
      <c r="Y48" s="12"/>
      <c r="Z48" s="12"/>
      <c r="AA48" s="12"/>
      <c r="AB48" s="6"/>
      <c r="AC48" s="234"/>
      <c r="AD48" s="6"/>
      <c r="AE48" s="6"/>
      <c r="AJ48" s="138"/>
    </row>
    <row r="49" spans="1:36" x14ac:dyDescent="0.25">
      <c r="A49" s="6"/>
      <c r="B49" s="234"/>
      <c r="C49" s="234"/>
      <c r="D49" s="234"/>
      <c r="E49" s="234"/>
      <c r="F49" s="234"/>
      <c r="G49" s="234"/>
      <c r="H49" s="234"/>
      <c r="I49" s="234"/>
      <c r="J49" s="234"/>
      <c r="K49" s="234"/>
      <c r="L49" s="234"/>
      <c r="M49" s="234"/>
      <c r="N49" s="234"/>
      <c r="O49" s="234"/>
      <c r="P49" s="234"/>
      <c r="Q49" s="234"/>
      <c r="R49" s="234"/>
      <c r="S49" s="234"/>
      <c r="T49" s="12"/>
      <c r="U49" s="12"/>
      <c r="V49" s="12"/>
      <c r="W49" s="12"/>
      <c r="X49" s="12"/>
      <c r="Y49" s="12"/>
      <c r="Z49" s="12"/>
      <c r="AA49" s="12"/>
      <c r="AB49" s="6"/>
      <c r="AC49" s="234"/>
      <c r="AD49" s="6"/>
      <c r="AE49" s="6"/>
      <c r="AJ49" s="138"/>
    </row>
    <row r="50" spans="1:36" x14ac:dyDescent="0.25">
      <c r="A50" s="6"/>
      <c r="B50" s="234"/>
      <c r="C50" s="234"/>
      <c r="D50" s="234"/>
      <c r="E50" s="234"/>
      <c r="F50" s="234"/>
      <c r="G50" s="234"/>
      <c r="H50" s="234"/>
      <c r="I50" s="234"/>
      <c r="J50" s="234"/>
      <c r="K50" s="234"/>
      <c r="L50" s="234"/>
      <c r="M50" s="234"/>
      <c r="N50" s="234"/>
      <c r="O50" s="234"/>
      <c r="P50" s="234"/>
      <c r="Q50" s="234"/>
      <c r="R50" s="234"/>
      <c r="S50" s="234"/>
      <c r="T50" s="12"/>
      <c r="U50" s="12"/>
      <c r="V50" s="12"/>
      <c r="W50" s="12"/>
      <c r="X50" s="12"/>
      <c r="Y50" s="12"/>
      <c r="Z50" s="12"/>
      <c r="AA50" s="12"/>
      <c r="AB50" s="6"/>
      <c r="AC50" s="234"/>
      <c r="AD50" s="6"/>
      <c r="AE50" s="6"/>
      <c r="AJ50" s="138"/>
    </row>
    <row r="51" spans="1:36" x14ac:dyDescent="0.25">
      <c r="A51" s="6"/>
      <c r="B51" s="234"/>
      <c r="C51" s="234"/>
      <c r="D51" s="234"/>
      <c r="E51" s="234"/>
      <c r="F51" s="234"/>
      <c r="G51" s="234"/>
      <c r="H51" s="234"/>
      <c r="I51" s="234"/>
      <c r="J51" s="234"/>
      <c r="K51" s="234"/>
      <c r="L51" s="234"/>
      <c r="M51" s="234"/>
      <c r="N51" s="234"/>
      <c r="O51" s="234"/>
      <c r="P51" s="234"/>
      <c r="Q51" s="234"/>
      <c r="R51" s="234"/>
      <c r="S51" s="234"/>
      <c r="T51" s="12"/>
      <c r="U51" s="12"/>
      <c r="V51" s="12"/>
      <c r="W51" s="12"/>
      <c r="X51" s="12"/>
      <c r="Y51" s="12"/>
      <c r="Z51" s="12"/>
      <c r="AA51" s="12"/>
      <c r="AB51" s="6"/>
      <c r="AC51" s="234"/>
      <c r="AD51" s="6"/>
      <c r="AE51" s="6"/>
      <c r="AJ51" s="138"/>
    </row>
    <row r="52" spans="1:36" x14ac:dyDescent="0.25">
      <c r="A52" s="6"/>
      <c r="B52" s="234"/>
      <c r="C52" s="234"/>
      <c r="D52" s="234"/>
      <c r="E52" s="234"/>
      <c r="F52" s="234"/>
      <c r="G52" s="234"/>
      <c r="H52" s="234"/>
      <c r="I52" s="234"/>
      <c r="J52" s="234"/>
      <c r="K52" s="234"/>
      <c r="L52" s="234"/>
      <c r="M52" s="234"/>
      <c r="N52" s="234"/>
      <c r="O52" s="234"/>
      <c r="P52" s="234"/>
      <c r="Q52" s="234"/>
      <c r="R52" s="234"/>
      <c r="S52" s="234"/>
      <c r="T52" s="12"/>
      <c r="U52" s="12"/>
      <c r="V52" s="12"/>
      <c r="W52" s="12"/>
      <c r="X52" s="12"/>
      <c r="Y52" s="12"/>
      <c r="Z52" s="12"/>
      <c r="AA52" s="12"/>
      <c r="AB52" s="6"/>
      <c r="AC52" s="234"/>
      <c r="AD52" s="6"/>
      <c r="AE52" s="6"/>
      <c r="AJ52" s="138"/>
    </row>
    <row r="53" spans="1:36" x14ac:dyDescent="0.25">
      <c r="A53" s="6"/>
      <c r="B53" s="234"/>
      <c r="C53" s="234"/>
      <c r="D53" s="234"/>
      <c r="E53" s="234"/>
      <c r="F53" s="234"/>
      <c r="G53" s="234"/>
      <c r="H53" s="234"/>
      <c r="I53" s="234"/>
      <c r="J53" s="234"/>
      <c r="K53" s="234"/>
      <c r="L53" s="234"/>
      <c r="M53" s="234"/>
      <c r="N53" s="234"/>
      <c r="O53" s="234"/>
      <c r="P53" s="234"/>
      <c r="Q53" s="234"/>
      <c r="R53" s="234"/>
      <c r="S53" s="234"/>
      <c r="T53" s="12"/>
      <c r="U53" s="12"/>
      <c r="V53" s="12"/>
      <c r="W53" s="12"/>
      <c r="X53" s="12"/>
      <c r="Y53" s="12"/>
      <c r="Z53" s="12"/>
      <c r="AA53" s="12"/>
      <c r="AB53" s="6"/>
      <c r="AC53" s="234"/>
      <c r="AD53" s="6"/>
      <c r="AE53" s="6"/>
      <c r="AJ53" s="138"/>
    </row>
    <row r="54" spans="1:36" x14ac:dyDescent="0.25">
      <c r="A54" s="6"/>
      <c r="B54" s="234"/>
      <c r="C54" s="234"/>
      <c r="D54" s="234"/>
      <c r="E54" s="234"/>
      <c r="F54" s="234"/>
      <c r="G54" s="234"/>
      <c r="H54" s="234"/>
      <c r="I54" s="234"/>
      <c r="J54" s="234"/>
      <c r="K54" s="234"/>
      <c r="L54" s="234"/>
      <c r="M54" s="234"/>
      <c r="N54" s="234"/>
      <c r="O54" s="234"/>
      <c r="P54" s="234"/>
      <c r="Q54" s="234"/>
      <c r="R54" s="234"/>
      <c r="S54" s="234"/>
      <c r="T54" s="12"/>
      <c r="U54" s="12"/>
      <c r="V54" s="12"/>
      <c r="W54" s="12"/>
      <c r="X54" s="12"/>
      <c r="Y54" s="12"/>
      <c r="Z54" s="12"/>
      <c r="AA54" s="12"/>
      <c r="AB54" s="6"/>
      <c r="AC54" s="234"/>
      <c r="AD54" s="6"/>
      <c r="AE54" s="6"/>
      <c r="AJ54" s="138"/>
    </row>
    <row r="55" spans="1:36" x14ac:dyDescent="0.25">
      <c r="A55" s="6"/>
      <c r="B55" s="234"/>
      <c r="C55" s="234"/>
      <c r="D55" s="234"/>
      <c r="E55" s="234"/>
      <c r="F55" s="234"/>
      <c r="G55" s="234"/>
      <c r="H55" s="234"/>
      <c r="I55" s="234"/>
      <c r="J55" s="234"/>
      <c r="K55" s="234"/>
      <c r="L55" s="234"/>
      <c r="M55" s="234"/>
      <c r="N55" s="234"/>
      <c r="O55" s="234"/>
      <c r="P55" s="234"/>
      <c r="Q55" s="234"/>
      <c r="R55" s="234"/>
      <c r="S55" s="234"/>
      <c r="T55" s="12"/>
      <c r="U55" s="12"/>
      <c r="V55" s="12"/>
      <c r="W55" s="12"/>
      <c r="X55" s="12"/>
      <c r="Y55" s="12"/>
      <c r="Z55" s="12"/>
      <c r="AA55" s="12"/>
      <c r="AB55" s="6"/>
      <c r="AC55" s="234"/>
      <c r="AD55" s="6"/>
      <c r="AE55" s="6"/>
      <c r="AJ55" s="138"/>
    </row>
    <row r="56" spans="1:36" x14ac:dyDescent="0.25">
      <c r="A56" s="228" t="s">
        <v>570</v>
      </c>
      <c r="B56" s="244"/>
      <c r="C56" s="229"/>
      <c r="D56" s="229"/>
      <c r="E56" s="229"/>
      <c r="F56" s="229"/>
      <c r="G56" s="229" t="s">
        <v>295</v>
      </c>
      <c r="H56" s="229" t="str">
        <f t="shared" ref="H56" si="39">H$1</f>
        <v>Q3 22</v>
      </c>
      <c r="I56" s="229" t="str">
        <f>I$1</f>
        <v>Q4 22</v>
      </c>
      <c r="J56" s="229" t="str">
        <f t="shared" ref="J56:R56" si="40">J$1</f>
        <v>H2 2022</v>
      </c>
      <c r="K56" s="229">
        <f t="shared" si="40"/>
        <v>2022</v>
      </c>
      <c r="L56" s="229" t="str">
        <f t="shared" si="40"/>
        <v>Q1 23</v>
      </c>
      <c r="M56" s="229" t="str">
        <f t="shared" si="40"/>
        <v>Q2 23</v>
      </c>
      <c r="N56" s="229" t="str">
        <f t="shared" si="40"/>
        <v>H1 2023</v>
      </c>
      <c r="O56" s="229" t="str">
        <f t="shared" si="40"/>
        <v>Q3 23</v>
      </c>
      <c r="P56" s="229" t="str">
        <f t="shared" si="40"/>
        <v>Q4 23</v>
      </c>
      <c r="Q56" s="229" t="str">
        <f t="shared" si="40"/>
        <v>H2 2023</v>
      </c>
      <c r="R56" s="229">
        <f t="shared" si="40"/>
        <v>2023</v>
      </c>
      <c r="S56" s="234"/>
      <c r="T56" s="12"/>
      <c r="U56" s="12"/>
      <c r="V56" s="12"/>
      <c r="W56" s="12"/>
      <c r="X56" s="12"/>
      <c r="Y56" s="12"/>
      <c r="Z56" s="12"/>
      <c r="AA56" s="12"/>
      <c r="AB56" s="6"/>
      <c r="AC56" s="229" t="str">
        <f>AC$1</f>
        <v>Q4 22e</v>
      </c>
      <c r="AD56" s="6"/>
      <c r="AE56" s="6"/>
      <c r="AJ56" s="135" t="s">
        <v>558</v>
      </c>
    </row>
    <row r="57" spans="1:36" x14ac:dyDescent="0.25">
      <c r="A57" s="20" t="s">
        <v>283</v>
      </c>
      <c r="B57" s="232">
        <f>B61+B64</f>
        <v>5860</v>
      </c>
      <c r="C57" s="232">
        <f>D57-B57</f>
        <v>6277</v>
      </c>
      <c r="D57" s="232">
        <f>Master!G253</f>
        <v>12137</v>
      </c>
      <c r="E57" s="232"/>
      <c r="F57" s="232"/>
      <c r="G57" s="232">
        <f>G61+G64</f>
        <v>5914.3949999999995</v>
      </c>
      <c r="H57" s="231">
        <v>3257</v>
      </c>
      <c r="I57" s="231">
        <v>3069.605</v>
      </c>
      <c r="J57" s="232">
        <f>H57+I57</f>
        <v>6326.6049999999996</v>
      </c>
      <c r="K57" s="232">
        <f>G57+J57</f>
        <v>12241</v>
      </c>
      <c r="L57" s="231">
        <v>3150.2829999999999</v>
      </c>
      <c r="M57" s="231">
        <v>3418</v>
      </c>
      <c r="N57" s="232">
        <f>N61+N64</f>
        <v>6568.7420000000002</v>
      </c>
      <c r="O57" s="231">
        <v>3421</v>
      </c>
      <c r="P57" s="232">
        <f>Q57-O57</f>
        <v>3427.4327956924335</v>
      </c>
      <c r="Q57" s="232">
        <f>R57-N57</f>
        <v>6848.4327956924335</v>
      </c>
      <c r="R57" s="232">
        <f>Master!I253</f>
        <v>13417.174795692434</v>
      </c>
      <c r="S57" s="16"/>
      <c r="T57" s="6"/>
      <c r="U57" s="6"/>
      <c r="V57" s="6"/>
      <c r="W57" s="6"/>
      <c r="X57" s="6"/>
      <c r="Y57" s="6"/>
      <c r="Z57" s="6"/>
      <c r="AA57" s="6"/>
      <c r="AB57" s="6"/>
      <c r="AC57" s="232">
        <f>J57-H57</f>
        <v>3069.6049999999996</v>
      </c>
      <c r="AD57" s="6"/>
      <c r="AE57" s="6"/>
      <c r="AJ57" s="146">
        <v>3069.605</v>
      </c>
    </row>
    <row r="58" spans="1:36" x14ac:dyDescent="0.25">
      <c r="A58" s="245" t="s">
        <v>281</v>
      </c>
      <c r="B58" s="16"/>
      <c r="C58" s="16"/>
      <c r="D58" s="16"/>
      <c r="E58" s="16"/>
      <c r="F58" s="16"/>
      <c r="G58" s="246">
        <f>G57/B57-1</f>
        <v>9.2824232081909486E-3</v>
      </c>
      <c r="H58" s="220"/>
      <c r="I58" s="220"/>
      <c r="J58" s="246">
        <f>J57/C57-1</f>
        <v>7.9026605066112587E-3</v>
      </c>
      <c r="K58" s="246"/>
      <c r="L58" s="16"/>
      <c r="M58" s="16"/>
      <c r="N58" s="246">
        <f>N57/G57-1</f>
        <v>0.11063633727541045</v>
      </c>
      <c r="O58" s="246">
        <f>O57/H57-1</f>
        <v>5.0353085661651864E-2</v>
      </c>
      <c r="P58" s="246">
        <f>P57/I57-1</f>
        <v>0.11657128382721349</v>
      </c>
      <c r="Q58" s="16"/>
      <c r="R58" s="246"/>
      <c r="S58" s="16"/>
      <c r="T58" s="6"/>
      <c r="U58" s="6"/>
      <c r="V58" s="6"/>
      <c r="W58" s="6"/>
      <c r="X58" s="6"/>
      <c r="Y58" s="6"/>
      <c r="Z58" s="6"/>
      <c r="AA58" s="6"/>
      <c r="AB58" s="6"/>
      <c r="AC58" s="246"/>
      <c r="AD58" s="6"/>
      <c r="AE58" s="6"/>
      <c r="AJ58" s="140"/>
    </row>
    <row r="59" spans="1:36" x14ac:dyDescent="0.25">
      <c r="A59" s="245" t="s">
        <v>580</v>
      </c>
      <c r="B59" s="16"/>
      <c r="C59" s="16"/>
      <c r="D59" s="16"/>
      <c r="E59" s="16"/>
      <c r="F59" s="16"/>
      <c r="G59" s="246"/>
      <c r="H59" s="220"/>
      <c r="I59" s="220">
        <f>I57/H57-1</f>
        <v>-5.7536076143690495E-2</v>
      </c>
      <c r="J59" s="246"/>
      <c r="K59" s="246"/>
      <c r="L59" s="220">
        <f>L57/I57-1</f>
        <v>2.6282860498337612E-2</v>
      </c>
      <c r="M59" s="220">
        <f>M57/L57-1</f>
        <v>8.498188892870906E-2</v>
      </c>
      <c r="N59" s="246"/>
      <c r="O59" s="220">
        <f>O57/M57-1</f>
        <v>8.7770626097127824E-4</v>
      </c>
      <c r="P59" s="220">
        <f>P57/O57-1</f>
        <v>1.8803845929358243E-3</v>
      </c>
      <c r="Q59" s="16"/>
      <c r="R59" s="246"/>
      <c r="S59" s="16"/>
      <c r="T59" s="6"/>
      <c r="U59" s="6"/>
      <c r="V59" s="6"/>
      <c r="W59" s="6"/>
      <c r="X59" s="6"/>
      <c r="Y59" s="6"/>
      <c r="Z59" s="6"/>
      <c r="AA59" s="6"/>
      <c r="AB59" s="6"/>
      <c r="AC59" s="246"/>
      <c r="AD59" s="6"/>
      <c r="AE59" s="6"/>
      <c r="AJ59" s="140">
        <v>-5.7536076143690495E-2</v>
      </c>
    </row>
    <row r="60" spans="1:36" x14ac:dyDescent="0.25">
      <c r="A60" s="245"/>
      <c r="B60" s="16"/>
      <c r="C60" s="16"/>
      <c r="D60" s="16"/>
      <c r="E60" s="16"/>
      <c r="F60" s="16"/>
      <c r="G60" s="246"/>
      <c r="H60" s="220"/>
      <c r="I60" s="220"/>
      <c r="J60" s="246"/>
      <c r="K60" s="246"/>
      <c r="L60" s="16"/>
      <c r="M60" s="16"/>
      <c r="N60" s="246"/>
      <c r="O60" s="246"/>
      <c r="P60" s="246"/>
      <c r="Q60" s="16"/>
      <c r="R60" s="246"/>
      <c r="S60" s="16"/>
      <c r="T60" s="6"/>
      <c r="U60" s="6"/>
      <c r="V60" s="6"/>
      <c r="W60" s="6"/>
      <c r="X60" s="6"/>
      <c r="Y60" s="6"/>
      <c r="Z60" s="6"/>
      <c r="AA60" s="6"/>
      <c r="AB60" s="6"/>
      <c r="AC60" s="246"/>
      <c r="AD60" s="6"/>
      <c r="AE60" s="6"/>
      <c r="AJ60" s="140"/>
    </row>
    <row r="61" spans="1:36" x14ac:dyDescent="0.25">
      <c r="A61" s="233" t="s">
        <v>237</v>
      </c>
      <c r="B61" s="234">
        <v>3456</v>
      </c>
      <c r="C61" s="234">
        <f>D61-B61</f>
        <v>3797</v>
      </c>
      <c r="D61" s="234">
        <f>Master!G266</f>
        <v>7253</v>
      </c>
      <c r="E61" s="234"/>
      <c r="F61" s="234"/>
      <c r="G61" s="383">
        <f>K61-J61</f>
        <v>4331.9139999999998</v>
      </c>
      <c r="H61" s="235">
        <v>2090</v>
      </c>
      <c r="I61" s="235">
        <v>1902.086</v>
      </c>
      <c r="J61" s="234">
        <f>H61+I61</f>
        <v>3992.0860000000002</v>
      </c>
      <c r="K61" s="235">
        <v>8324</v>
      </c>
      <c r="L61" s="235">
        <v>1904.6869999999999</v>
      </c>
      <c r="M61" s="235">
        <v>2077.2170000000001</v>
      </c>
      <c r="N61" s="234">
        <f>L61+M61</f>
        <v>3981.904</v>
      </c>
      <c r="O61" s="235">
        <v>2058.71</v>
      </c>
      <c r="P61" s="234">
        <f>Q61-O61</f>
        <v>2063.4493096683937</v>
      </c>
      <c r="Q61" s="234">
        <f>R61-N61</f>
        <v>4122.1593096683937</v>
      </c>
      <c r="R61" s="234">
        <f>Master!I266</f>
        <v>8104.0633096683941</v>
      </c>
      <c r="S61" s="16"/>
      <c r="T61" s="6"/>
      <c r="U61" s="6"/>
      <c r="V61" s="6"/>
      <c r="W61" s="6"/>
      <c r="X61" s="6"/>
      <c r="Y61" s="6"/>
      <c r="Z61" s="6"/>
      <c r="AA61" s="6"/>
      <c r="AB61" s="6"/>
      <c r="AC61" s="234">
        <f>J61-H61</f>
        <v>1902.0860000000002</v>
      </c>
      <c r="AD61" s="6"/>
      <c r="AE61" s="6"/>
      <c r="AJ61" s="143">
        <v>1902.086</v>
      </c>
    </row>
    <row r="62" spans="1:36" x14ac:dyDescent="0.25">
      <c r="A62" s="245" t="s">
        <v>281</v>
      </c>
      <c r="B62" s="16"/>
      <c r="C62" s="16"/>
      <c r="D62" s="16"/>
      <c r="E62" s="16"/>
      <c r="F62" s="16"/>
      <c r="G62" s="246">
        <f>G61/B61-1</f>
        <v>0.25344733796296293</v>
      </c>
      <c r="H62" s="220"/>
      <c r="I62" s="220"/>
      <c r="J62" s="246">
        <f>J61/C61-1</f>
        <v>5.137898340795366E-2</v>
      </c>
      <c r="K62" s="246"/>
      <c r="L62" s="16"/>
      <c r="M62" s="16"/>
      <c r="N62" s="246">
        <f>N61/G61-1</f>
        <v>-8.0798002915108635E-2</v>
      </c>
      <c r="O62" s="246"/>
      <c r="P62" s="246"/>
      <c r="Q62" s="16"/>
      <c r="R62" s="246"/>
      <c r="S62" s="16"/>
      <c r="T62" s="6"/>
      <c r="U62" s="6"/>
      <c r="V62" s="6"/>
      <c r="W62" s="6"/>
      <c r="X62" s="6"/>
      <c r="Y62" s="6"/>
      <c r="Z62" s="6"/>
      <c r="AA62" s="6"/>
      <c r="AB62" s="6"/>
      <c r="AC62" s="246"/>
      <c r="AD62" s="6"/>
      <c r="AE62" s="6"/>
      <c r="AJ62" s="140"/>
    </row>
    <row r="63" spans="1:36" x14ac:dyDescent="0.25">
      <c r="A63" s="245" t="s">
        <v>580</v>
      </c>
      <c r="B63" s="16"/>
      <c r="C63" s="16"/>
      <c r="D63" s="16"/>
      <c r="E63" s="16"/>
      <c r="F63" s="16"/>
      <c r="G63" s="246"/>
      <c r="H63" s="220"/>
      <c r="I63" s="220">
        <f>I61/H61-1</f>
        <v>-8.9911004784688942E-2</v>
      </c>
      <c r="J63" s="246"/>
      <c r="K63" s="246"/>
      <c r="L63" s="220">
        <f>L61/I61-1</f>
        <v>1.3674460565924473E-3</v>
      </c>
      <c r="M63" s="220">
        <f>M61/L61-1</f>
        <v>9.0581812129762129E-2</v>
      </c>
      <c r="N63" s="246"/>
      <c r="O63" s="220">
        <f>O61/M61-1</f>
        <v>-8.9095169161431675E-3</v>
      </c>
      <c r="P63" s="246"/>
      <c r="Q63" s="16"/>
      <c r="R63" s="246"/>
      <c r="S63" s="16"/>
      <c r="T63" s="6"/>
      <c r="U63" s="6"/>
      <c r="V63" s="6"/>
      <c r="W63" s="6"/>
      <c r="X63" s="6"/>
      <c r="Y63" s="6"/>
      <c r="Z63" s="6"/>
      <c r="AA63" s="6"/>
      <c r="AB63" s="6"/>
      <c r="AC63" s="246"/>
      <c r="AD63" s="6"/>
      <c r="AE63" s="6"/>
      <c r="AJ63" s="140">
        <v>-8.9911004784688942E-2</v>
      </c>
    </row>
    <row r="64" spans="1:36" x14ac:dyDescent="0.25">
      <c r="A64" s="233" t="s">
        <v>238</v>
      </c>
      <c r="B64" s="234">
        <v>2404</v>
      </c>
      <c r="C64" s="234">
        <f>D64-B64</f>
        <v>2480</v>
      </c>
      <c r="D64" s="234">
        <f>Master!G268</f>
        <v>4884</v>
      </c>
      <c r="E64" s="234"/>
      <c r="F64" s="234"/>
      <c r="G64" s="383">
        <f>K64-J64</f>
        <v>1582.4809999999998</v>
      </c>
      <c r="H64" s="235">
        <v>1167</v>
      </c>
      <c r="I64" s="235">
        <v>1167.519</v>
      </c>
      <c r="J64" s="234">
        <f>H64+I64</f>
        <v>2334.5190000000002</v>
      </c>
      <c r="K64" s="235">
        <v>3917</v>
      </c>
      <c r="L64" s="235">
        <v>1245.596</v>
      </c>
      <c r="M64" s="235">
        <v>1341.242</v>
      </c>
      <c r="N64" s="234">
        <f>L64+M64</f>
        <v>2586.8379999999997</v>
      </c>
      <c r="O64" s="235">
        <v>1361.8040000000001</v>
      </c>
      <c r="P64" s="234">
        <f>Q64-O64</f>
        <v>1364.4694860240397</v>
      </c>
      <c r="Q64" s="234">
        <f>R64-N64</f>
        <v>2726.2734860240398</v>
      </c>
      <c r="R64" s="234">
        <f>Master!I268</f>
        <v>5313.1114860240396</v>
      </c>
      <c r="S64" s="16"/>
      <c r="T64" s="6"/>
      <c r="U64" s="6"/>
      <c r="V64" s="6"/>
      <c r="W64" s="6"/>
      <c r="X64" s="6"/>
      <c r="Y64" s="6"/>
      <c r="Z64" s="6"/>
      <c r="AA64" s="6"/>
      <c r="AB64" s="6"/>
      <c r="AC64" s="234">
        <f>J64-H64</f>
        <v>1167.5190000000002</v>
      </c>
      <c r="AD64" s="6"/>
      <c r="AE64" s="6"/>
      <c r="AJ64" s="138">
        <v>1167.519</v>
      </c>
    </row>
    <row r="65" spans="1:36" x14ac:dyDescent="0.25">
      <c r="A65" s="245" t="s">
        <v>281</v>
      </c>
      <c r="B65" s="16"/>
      <c r="C65" s="16"/>
      <c r="D65" s="16"/>
      <c r="E65" s="16"/>
      <c r="F65" s="16"/>
      <c r="G65" s="246">
        <f>G64/B64-1</f>
        <v>-0.34173003327787033</v>
      </c>
      <c r="H65" s="220"/>
      <c r="I65" s="220"/>
      <c r="J65" s="246">
        <f>J64/C64-1</f>
        <v>-5.8661693548387017E-2</v>
      </c>
      <c r="K65" s="246"/>
      <c r="L65" s="16"/>
      <c r="M65" s="16"/>
      <c r="N65" s="246">
        <f>N64/G64-1</f>
        <v>0.63467239101132966</v>
      </c>
      <c r="O65" s="246"/>
      <c r="P65" s="246"/>
      <c r="Q65" s="16"/>
      <c r="R65" s="246"/>
      <c r="S65" s="16"/>
      <c r="T65" s="6"/>
      <c r="U65" s="6"/>
      <c r="V65" s="6"/>
      <c r="W65" s="6"/>
      <c r="X65" s="6"/>
      <c r="Y65" s="6"/>
      <c r="Z65" s="6"/>
      <c r="AA65" s="6"/>
      <c r="AB65" s="6"/>
      <c r="AC65" s="246"/>
      <c r="AD65" s="6"/>
      <c r="AE65" s="6"/>
      <c r="AJ65" s="140"/>
    </row>
    <row r="66" spans="1:36" x14ac:dyDescent="0.25">
      <c r="A66" s="245" t="s">
        <v>580</v>
      </c>
      <c r="B66" s="16"/>
      <c r="C66" s="16"/>
      <c r="D66" s="16"/>
      <c r="E66" s="16"/>
      <c r="F66" s="16"/>
      <c r="G66" s="246"/>
      <c r="H66" s="220"/>
      <c r="I66" s="220">
        <f>I64/H64-1</f>
        <v>4.4473007712086954E-4</v>
      </c>
      <c r="J66" s="246"/>
      <c r="K66" s="246"/>
      <c r="L66" s="16"/>
      <c r="M66" s="16"/>
      <c r="N66" s="246"/>
      <c r="O66" s="246"/>
      <c r="P66" s="246"/>
      <c r="Q66" s="16"/>
      <c r="R66" s="246"/>
      <c r="S66" s="16"/>
      <c r="T66" s="6"/>
      <c r="U66" s="6"/>
      <c r="V66" s="6"/>
      <c r="W66" s="6"/>
      <c r="X66" s="6"/>
      <c r="Y66" s="6"/>
      <c r="Z66" s="6"/>
      <c r="AA66" s="6"/>
      <c r="AB66" s="6"/>
      <c r="AC66" s="246"/>
      <c r="AD66" s="6"/>
      <c r="AE66" s="6"/>
      <c r="AJ66" s="140">
        <v>4.4473007712086954E-4</v>
      </c>
    </row>
    <row r="67" spans="1:36" x14ac:dyDescent="0.25">
      <c r="A67" s="245"/>
      <c r="B67" s="16"/>
      <c r="C67" s="16"/>
      <c r="D67" s="16"/>
      <c r="E67" s="16"/>
      <c r="F67" s="16"/>
      <c r="G67" s="16"/>
      <c r="H67" s="16"/>
      <c r="I67" s="16"/>
      <c r="J67" s="16"/>
      <c r="K67" s="16"/>
      <c r="L67" s="16"/>
      <c r="M67" s="16"/>
      <c r="N67" s="16"/>
      <c r="O67" s="16"/>
      <c r="P67" s="16"/>
      <c r="Q67" s="16"/>
      <c r="R67" s="16"/>
      <c r="S67" s="16"/>
      <c r="T67" s="6"/>
      <c r="U67" s="6"/>
      <c r="V67" s="6"/>
      <c r="W67" s="6"/>
      <c r="X67" s="6"/>
      <c r="Y67" s="6"/>
      <c r="Z67" s="6"/>
      <c r="AA67" s="6"/>
      <c r="AB67" s="6"/>
      <c r="AC67" s="16"/>
      <c r="AD67" s="6"/>
      <c r="AE67" s="6"/>
      <c r="AJ67" s="136"/>
    </row>
    <row r="68" spans="1:36" x14ac:dyDescent="0.25">
      <c r="A68" s="6" t="s">
        <v>559</v>
      </c>
      <c r="B68" s="16"/>
      <c r="C68" s="16"/>
      <c r="D68" s="16"/>
      <c r="E68" s="16"/>
      <c r="F68" s="16"/>
      <c r="G68" s="16"/>
      <c r="H68" s="16"/>
      <c r="I68" s="16"/>
      <c r="J68" s="16"/>
      <c r="K68" s="16"/>
      <c r="L68" s="16"/>
      <c r="M68" s="16"/>
      <c r="N68" s="16"/>
      <c r="O68" s="16"/>
      <c r="P68" s="16"/>
      <c r="Q68" s="16"/>
      <c r="R68" s="16"/>
      <c r="S68" s="16"/>
      <c r="T68" s="6"/>
      <c r="U68" s="6"/>
      <c r="V68" s="6"/>
      <c r="W68" s="6"/>
      <c r="X68" s="6"/>
      <c r="Y68" s="6"/>
      <c r="Z68" s="6"/>
      <c r="AA68" s="6"/>
      <c r="AB68" s="6"/>
      <c r="AC68" s="16"/>
      <c r="AD68" s="6"/>
      <c r="AE68" s="6"/>
      <c r="AJ68" s="136"/>
    </row>
    <row r="69" spans="1:36" x14ac:dyDescent="0.25">
      <c r="A69" s="233" t="s">
        <v>12</v>
      </c>
      <c r="B69" s="16"/>
      <c r="C69" s="16"/>
      <c r="D69" s="16"/>
      <c r="E69" s="16"/>
      <c r="F69" s="16"/>
      <c r="G69" s="16"/>
      <c r="H69" s="16"/>
      <c r="I69" s="255">
        <f>45%*I61</f>
        <v>855.93870000000004</v>
      </c>
      <c r="J69" s="16"/>
      <c r="K69" s="16"/>
      <c r="L69" s="16"/>
      <c r="M69" s="16"/>
      <c r="N69" s="16"/>
      <c r="O69" s="16"/>
      <c r="P69" s="16"/>
      <c r="Q69" s="16"/>
      <c r="R69" s="16"/>
      <c r="S69" s="16"/>
      <c r="T69" s="6"/>
      <c r="U69" s="6"/>
      <c r="V69" s="6"/>
      <c r="W69" s="6"/>
      <c r="X69" s="6"/>
      <c r="Y69" s="6"/>
      <c r="Z69" s="6"/>
      <c r="AA69" s="6"/>
      <c r="AB69" s="6"/>
      <c r="AC69" s="16"/>
      <c r="AD69" s="6"/>
      <c r="AE69" s="6"/>
      <c r="AJ69" s="141">
        <v>855.93870000000004</v>
      </c>
    </row>
    <row r="70" spans="1:36" x14ac:dyDescent="0.25">
      <c r="A70" s="233" t="s">
        <v>603</v>
      </c>
      <c r="B70" s="16"/>
      <c r="C70" s="16"/>
      <c r="D70" s="16"/>
      <c r="E70" s="16"/>
      <c r="F70" s="16"/>
      <c r="G70" s="16"/>
      <c r="H70" s="16"/>
      <c r="I70" s="255">
        <f>24%*I61</f>
        <v>456.50063999999998</v>
      </c>
      <c r="J70" s="16"/>
      <c r="K70" s="16"/>
      <c r="L70" s="16"/>
      <c r="M70" s="16"/>
      <c r="N70" s="16"/>
      <c r="O70" s="16"/>
      <c r="P70" s="16"/>
      <c r="Q70" s="16"/>
      <c r="R70" s="16"/>
      <c r="S70" s="16"/>
      <c r="T70" s="6"/>
      <c r="U70" s="6"/>
      <c r="V70" s="6"/>
      <c r="W70" s="6"/>
      <c r="X70" s="6"/>
      <c r="Y70" s="6"/>
      <c r="Z70" s="6"/>
      <c r="AA70" s="6"/>
      <c r="AB70" s="6"/>
      <c r="AC70" s="16"/>
      <c r="AD70" s="6"/>
      <c r="AE70" s="6"/>
      <c r="AJ70" s="141">
        <v>456.50063999999998</v>
      </c>
    </row>
    <row r="71" spans="1:36" x14ac:dyDescent="0.25">
      <c r="A71" s="233" t="s">
        <v>561</v>
      </c>
      <c r="B71" s="16"/>
      <c r="C71" s="16"/>
      <c r="D71" s="16"/>
      <c r="E71" s="16"/>
      <c r="F71" s="16"/>
      <c r="G71" s="16"/>
      <c r="H71" s="16"/>
      <c r="I71" s="255">
        <f>16%*I61</f>
        <v>304.33375999999998</v>
      </c>
      <c r="J71" s="16"/>
      <c r="K71" s="16"/>
      <c r="L71" s="16"/>
      <c r="M71" s="16"/>
      <c r="N71" s="16"/>
      <c r="O71" s="16"/>
      <c r="P71" s="16"/>
      <c r="Q71" s="16"/>
      <c r="R71" s="16"/>
      <c r="S71" s="16"/>
      <c r="T71" s="6"/>
      <c r="U71" s="6"/>
      <c r="V71" s="6"/>
      <c r="W71" s="6"/>
      <c r="X71" s="6"/>
      <c r="Y71" s="6"/>
      <c r="Z71" s="6"/>
      <c r="AA71" s="6"/>
      <c r="AB71" s="6"/>
      <c r="AC71" s="16"/>
      <c r="AD71" s="6"/>
      <c r="AE71" s="6"/>
      <c r="AJ71" s="141">
        <v>304.33375999999998</v>
      </c>
    </row>
    <row r="72" spans="1:36" x14ac:dyDescent="0.25">
      <c r="A72" s="233" t="s">
        <v>562</v>
      </c>
      <c r="B72" s="16"/>
      <c r="C72" s="16"/>
      <c r="D72" s="16"/>
      <c r="E72" s="16"/>
      <c r="F72" s="16"/>
      <c r="G72" s="16"/>
      <c r="H72" s="16"/>
      <c r="I72" s="255">
        <f>15%*I61</f>
        <v>285.31290000000001</v>
      </c>
      <c r="J72" s="16"/>
      <c r="K72" s="16"/>
      <c r="L72" s="16"/>
      <c r="M72" s="16"/>
      <c r="N72" s="16"/>
      <c r="O72" s="16"/>
      <c r="P72" s="16"/>
      <c r="Q72" s="16"/>
      <c r="R72" s="16"/>
      <c r="S72" s="16"/>
      <c r="T72" s="6"/>
      <c r="U72" s="6"/>
      <c r="V72" s="6"/>
      <c r="W72" s="6"/>
      <c r="X72" s="6"/>
      <c r="Y72" s="6"/>
      <c r="Z72" s="6"/>
      <c r="AA72" s="6"/>
      <c r="AB72" s="6"/>
      <c r="AC72" s="16"/>
      <c r="AD72" s="6"/>
      <c r="AE72" s="6"/>
      <c r="AJ72" s="141">
        <v>285.31290000000001</v>
      </c>
    </row>
    <row r="73" spans="1:36" x14ac:dyDescent="0.25">
      <c r="A73" s="245"/>
      <c r="B73" s="16"/>
      <c r="C73" s="16"/>
      <c r="D73" s="16"/>
      <c r="E73" s="16"/>
      <c r="F73" s="16"/>
      <c r="G73" s="16"/>
      <c r="H73" s="16"/>
      <c r="I73" s="16"/>
      <c r="J73" s="16"/>
      <c r="K73" s="16"/>
      <c r="L73" s="16"/>
      <c r="M73" s="16"/>
      <c r="N73" s="16"/>
      <c r="O73" s="16"/>
      <c r="P73" s="16"/>
      <c r="Q73" s="16"/>
      <c r="R73" s="16"/>
      <c r="S73" s="16"/>
      <c r="T73" s="6"/>
      <c r="U73" s="6"/>
      <c r="V73" s="6"/>
      <c r="W73" s="6"/>
      <c r="X73" s="6"/>
      <c r="Y73" s="6"/>
      <c r="Z73" s="6"/>
      <c r="AA73" s="6"/>
      <c r="AB73" s="6"/>
      <c r="AC73" s="16"/>
      <c r="AD73" s="6"/>
      <c r="AE73" s="6"/>
      <c r="AJ73" s="136"/>
    </row>
    <row r="74" spans="1:36" x14ac:dyDescent="0.25">
      <c r="A74" s="233"/>
      <c r="B74" s="16"/>
      <c r="C74" s="16"/>
      <c r="D74" s="16"/>
      <c r="E74" s="16"/>
      <c r="F74" s="16"/>
      <c r="G74" s="16"/>
      <c r="H74" s="16"/>
      <c r="I74" s="16"/>
      <c r="J74" s="16"/>
      <c r="K74" s="16"/>
      <c r="L74" s="16"/>
      <c r="M74" s="16"/>
      <c r="N74" s="16"/>
      <c r="O74" s="16"/>
      <c r="P74" s="16"/>
      <c r="Q74" s="16"/>
      <c r="R74" s="16"/>
      <c r="S74" s="16"/>
      <c r="T74" s="6"/>
      <c r="U74" s="6"/>
      <c r="V74" s="6"/>
      <c r="W74" s="6"/>
      <c r="X74" s="6"/>
      <c r="Y74" s="6"/>
      <c r="Z74" s="6"/>
      <c r="AA74" s="6"/>
      <c r="AB74" s="6"/>
      <c r="AC74" s="16"/>
      <c r="AD74" s="6"/>
      <c r="AE74" s="6"/>
      <c r="AJ74" s="136"/>
    </row>
    <row r="75" spans="1:36" x14ac:dyDescent="0.25">
      <c r="A75" s="6" t="s">
        <v>121</v>
      </c>
      <c r="B75" s="234"/>
      <c r="C75" s="234"/>
      <c r="D75" s="234"/>
      <c r="E75" s="234"/>
      <c r="F75" s="234"/>
      <c r="G75" s="234">
        <f>G61*1000000/AVERAGE(D4,G4)/6</f>
        <v>24819.032886444369</v>
      </c>
      <c r="H75" s="234">
        <f>H61*1000000/AVERAGE(G4,H4)/3</f>
        <v>23918.653688794282</v>
      </c>
      <c r="I75" s="234">
        <f>I61*1000000/AVERAGE(H4,I4)/3</f>
        <v>21532.642780324899</v>
      </c>
      <c r="J75" s="234">
        <f>H75+I75</f>
        <v>45451.296469119181</v>
      </c>
      <c r="K75" s="234">
        <f>G75+J75</f>
        <v>70270.329355563546</v>
      </c>
      <c r="L75" s="234">
        <f>L61*1000000/AVERAGE(K4,L4)/3</f>
        <v>19889.280474497336</v>
      </c>
      <c r="M75" s="234">
        <f>M61*1000000/AVERAGE(L4,M4)/3</f>
        <v>20258.811711237249</v>
      </c>
      <c r="N75" s="234">
        <f>N61*1000000/AVERAGE(K4,N4)/6</f>
        <v>20749.782439903909</v>
      </c>
      <c r="O75" s="234">
        <f>O61*1000000/AVERAGE(N4,O4)/3</f>
        <v>19917.185466823397</v>
      </c>
      <c r="P75" s="234"/>
      <c r="Q75" s="234"/>
      <c r="R75" s="234"/>
      <c r="S75" s="16"/>
      <c r="T75" s="6"/>
      <c r="U75" s="6"/>
      <c r="V75" s="6"/>
      <c r="W75" s="6"/>
      <c r="X75" s="6"/>
      <c r="Y75" s="6"/>
      <c r="Z75" s="6"/>
      <c r="AA75" s="6"/>
      <c r="AB75" s="6"/>
      <c r="AC75" s="234">
        <f>AC61*1000000/AVERAGE(I4,AC4)/3</f>
        <v>21758.765457519705</v>
      </c>
      <c r="AD75" s="6"/>
      <c r="AE75" s="6"/>
      <c r="AJ75" s="138">
        <v>21532.642780324899</v>
      </c>
    </row>
    <row r="76" spans="1:36" x14ac:dyDescent="0.25">
      <c r="A76" s="233" t="s">
        <v>580</v>
      </c>
      <c r="B76" s="16"/>
      <c r="C76" s="16"/>
      <c r="D76" s="16"/>
      <c r="E76" s="16"/>
      <c r="F76" s="16"/>
      <c r="G76" s="16"/>
      <c r="H76" s="16"/>
      <c r="I76" s="246">
        <f>I75/H75-1</f>
        <v>-9.9755234534258608E-2</v>
      </c>
      <c r="J76" s="16"/>
      <c r="K76" s="16"/>
      <c r="L76" s="246">
        <f>L75/I75-1</f>
        <v>-7.6319582440161904E-2</v>
      </c>
      <c r="M76" s="246">
        <f>M75/L75-1</f>
        <v>1.8579417048984581E-2</v>
      </c>
      <c r="N76" s="16"/>
      <c r="O76" s="246">
        <f>O75/M75-1</f>
        <v>-1.6863093911098304E-2</v>
      </c>
      <c r="P76" s="16"/>
      <c r="Q76" s="16"/>
      <c r="R76" s="16"/>
      <c r="S76" s="16"/>
      <c r="T76" s="6"/>
      <c r="U76" s="6"/>
      <c r="V76" s="6"/>
      <c r="W76" s="6"/>
      <c r="X76" s="6"/>
      <c r="Y76" s="6"/>
      <c r="Z76" s="6"/>
      <c r="AA76" s="6"/>
      <c r="AB76" s="6"/>
      <c r="AC76" s="16"/>
      <c r="AD76" s="6"/>
      <c r="AE76" s="6"/>
      <c r="AJ76" s="139">
        <v>-9.9755234534258608E-2</v>
      </c>
    </row>
    <row r="77" spans="1:36" x14ac:dyDescent="0.25">
      <c r="A77" s="233"/>
      <c r="B77" s="16"/>
      <c r="C77" s="16"/>
      <c r="D77" s="16"/>
      <c r="E77" s="16"/>
      <c r="F77" s="16"/>
      <c r="G77" s="16"/>
      <c r="H77" s="16"/>
      <c r="I77" s="246"/>
      <c r="J77" s="16"/>
      <c r="K77" s="16"/>
      <c r="L77" s="246"/>
      <c r="M77" s="16"/>
      <c r="N77" s="16"/>
      <c r="O77" s="16"/>
      <c r="P77" s="16"/>
      <c r="Q77" s="16"/>
      <c r="R77" s="16"/>
      <c r="S77" s="16"/>
      <c r="T77" s="6"/>
      <c r="U77" s="6"/>
      <c r="V77" s="6"/>
      <c r="W77" s="6"/>
      <c r="X77" s="6"/>
      <c r="Y77" s="6"/>
      <c r="Z77" s="6"/>
      <c r="AA77" s="6"/>
      <c r="AB77" s="6"/>
      <c r="AC77" s="16"/>
      <c r="AD77" s="6"/>
      <c r="AE77" s="6"/>
      <c r="AJ77" s="139"/>
    </row>
    <row r="78" spans="1:36" x14ac:dyDescent="0.25">
      <c r="A78" s="248" t="s">
        <v>54</v>
      </c>
      <c r="B78" s="234"/>
      <c r="C78" s="234"/>
      <c r="D78" s="234"/>
      <c r="E78" s="234"/>
      <c r="F78" s="234"/>
      <c r="G78" s="234"/>
      <c r="H78" s="234">
        <f>((H89+H104)*1000*1000)/AVERAGE(H4,G4)/3</f>
        <v>34141.486275384952</v>
      </c>
      <c r="I78" s="234">
        <f>((I89+I104)*1000*1000)/AVERAGE(I4,H4)/3</f>
        <v>31425.652346182149</v>
      </c>
      <c r="J78" s="234"/>
      <c r="K78" s="234"/>
      <c r="L78" s="234">
        <f>((L89+L104)*1000*1000)/AVERAGE(L4,K4)/3</f>
        <v>33424.421366999253</v>
      </c>
      <c r="M78" s="234">
        <f>((M89+M104)*1000*1000)/AVERAGE(M4,L4)/3</f>
        <v>33043.302709345189</v>
      </c>
      <c r="N78" s="234"/>
      <c r="O78" s="234">
        <f>((O89+O104)*1000*1000)/AVERAGE(O4,N4)/3</f>
        <v>29840.552999850042</v>
      </c>
      <c r="P78" s="234"/>
      <c r="Q78" s="234"/>
      <c r="R78" s="234"/>
      <c r="S78" s="16"/>
      <c r="T78" s="6"/>
      <c r="U78" s="6"/>
      <c r="V78" s="6"/>
      <c r="W78" s="6"/>
      <c r="X78" s="6"/>
      <c r="Y78" s="6"/>
      <c r="Z78" s="6"/>
      <c r="AA78" s="6"/>
      <c r="AB78" s="6"/>
      <c r="AC78" s="234">
        <f>((AC89+AC104)*1000*1000)/AVERAGE(AC4,H4)/3</f>
        <v>0</v>
      </c>
      <c r="AD78" s="6"/>
      <c r="AE78" s="6"/>
      <c r="AJ78" s="138">
        <v>19627.384388973795</v>
      </c>
    </row>
    <row r="79" spans="1:36" x14ac:dyDescent="0.25">
      <c r="A79" s="233" t="s">
        <v>580</v>
      </c>
      <c r="B79" s="16"/>
      <c r="C79" s="16"/>
      <c r="D79" s="16"/>
      <c r="E79" s="16"/>
      <c r="F79" s="16"/>
      <c r="G79" s="16"/>
      <c r="H79" s="16"/>
      <c r="I79" s="246">
        <f>I78/H78-1</f>
        <v>-7.9546447020405253E-2</v>
      </c>
      <c r="J79" s="16"/>
      <c r="K79" s="16"/>
      <c r="L79" s="246">
        <f>L78/I78-1</f>
        <v>6.3603103566438168E-2</v>
      </c>
      <c r="M79" s="246">
        <f>M78/L78-1</f>
        <v>-1.1402401060870759E-2</v>
      </c>
      <c r="N79" s="16"/>
      <c r="O79" s="246">
        <f>O78/M78-1</f>
        <v>-9.6925835097874669E-2</v>
      </c>
      <c r="P79" s="16"/>
      <c r="Q79" s="16"/>
      <c r="R79" s="16"/>
      <c r="S79" s="16"/>
      <c r="T79" s="6"/>
      <c r="U79" s="6"/>
      <c r="V79" s="6"/>
      <c r="W79" s="6"/>
      <c r="X79" s="6"/>
      <c r="Y79" s="6"/>
      <c r="Z79" s="6"/>
      <c r="AA79" s="6"/>
      <c r="AB79" s="6"/>
      <c r="AC79" s="16"/>
      <c r="AD79" s="6"/>
      <c r="AE79" s="6"/>
      <c r="AJ79" s="139">
        <v>-8.2211966018196136E-2</v>
      </c>
    </row>
    <row r="80" spans="1:36" x14ac:dyDescent="0.25">
      <c r="A80" s="6"/>
      <c r="B80" s="16"/>
      <c r="C80" s="16"/>
      <c r="D80" s="16"/>
      <c r="E80" s="16"/>
      <c r="F80" s="16"/>
      <c r="G80" s="16"/>
      <c r="H80" s="16"/>
      <c r="I80" s="16"/>
      <c r="J80" s="16"/>
      <c r="K80" s="16"/>
      <c r="L80" s="16"/>
      <c r="M80" s="16"/>
      <c r="N80" s="16"/>
      <c r="O80" s="16"/>
      <c r="P80" s="16"/>
      <c r="Q80" s="16"/>
      <c r="R80" s="16"/>
      <c r="S80" s="16"/>
      <c r="T80" s="6"/>
      <c r="U80" s="6"/>
      <c r="V80" s="6"/>
      <c r="W80" s="6"/>
      <c r="X80" s="6"/>
      <c r="Y80" s="6"/>
      <c r="Z80" s="6"/>
      <c r="AA80" s="6"/>
      <c r="AB80" s="6"/>
      <c r="AC80" s="16"/>
      <c r="AD80" s="6"/>
      <c r="AE80" s="6"/>
      <c r="AJ80" s="142"/>
    </row>
    <row r="81" spans="1:36" x14ac:dyDescent="0.25">
      <c r="A81" s="248"/>
      <c r="B81" s="16"/>
      <c r="C81" s="16"/>
      <c r="D81" s="16"/>
      <c r="E81" s="16"/>
      <c r="F81" s="16"/>
      <c r="G81" s="16"/>
      <c r="H81" s="16"/>
      <c r="I81" s="16"/>
      <c r="J81" s="16"/>
      <c r="K81" s="16"/>
      <c r="L81" s="16"/>
      <c r="M81" s="16"/>
      <c r="N81" s="16"/>
      <c r="O81" s="16"/>
      <c r="P81" s="16"/>
      <c r="Q81" s="16"/>
      <c r="R81" s="16"/>
      <c r="S81" s="16"/>
      <c r="T81" s="6"/>
      <c r="U81" s="6"/>
      <c r="V81" s="6"/>
      <c r="W81" s="6"/>
      <c r="X81" s="6"/>
      <c r="Y81" s="6"/>
      <c r="Z81" s="6"/>
      <c r="AA81" s="6"/>
      <c r="AB81" s="6"/>
      <c r="AC81" s="16"/>
      <c r="AD81" s="6"/>
      <c r="AE81" s="6"/>
      <c r="AJ81" s="136"/>
    </row>
    <row r="82" spans="1:36" x14ac:dyDescent="0.25">
      <c r="A82" s="249" t="s">
        <v>239</v>
      </c>
      <c r="B82" s="234">
        <v>391</v>
      </c>
      <c r="C82" s="234">
        <f>D82-B82</f>
        <v>228</v>
      </c>
      <c r="D82" s="234">
        <f>Master!G285</f>
        <v>619</v>
      </c>
      <c r="E82" s="234"/>
      <c r="F82" s="234"/>
      <c r="G82" s="383">
        <f>K82-J82</f>
        <v>44.592999999999961</v>
      </c>
      <c r="H82" s="235">
        <v>209.334</v>
      </c>
      <c r="I82" s="235">
        <v>174.07300000000001</v>
      </c>
      <c r="J82" s="234">
        <f>H82+I82</f>
        <v>383.40700000000004</v>
      </c>
      <c r="K82" s="234">
        <f>Master!H285</f>
        <v>428</v>
      </c>
      <c r="L82" s="235">
        <v>107.788</v>
      </c>
      <c r="M82" s="235">
        <v>83.710999999999999</v>
      </c>
      <c r="N82" s="234">
        <f>L82+M82</f>
        <v>191.499</v>
      </c>
      <c r="O82" s="235">
        <v>71.084999999999994</v>
      </c>
      <c r="P82" s="234">
        <f>Q82-O82</f>
        <v>69.682595696404192</v>
      </c>
      <c r="Q82" s="234">
        <f>R82-N82</f>
        <v>140.76759569640419</v>
      </c>
      <c r="R82" s="234">
        <f>Master!I285</f>
        <v>332.26659569640418</v>
      </c>
      <c r="S82" s="16"/>
      <c r="T82" s="6"/>
      <c r="U82" s="6"/>
      <c r="V82" s="6"/>
      <c r="W82" s="6"/>
      <c r="X82" s="6"/>
      <c r="Y82" s="6"/>
      <c r="Z82" s="6"/>
      <c r="AA82" s="6"/>
      <c r="AB82" s="6"/>
      <c r="AC82" s="234"/>
      <c r="AD82" s="6"/>
      <c r="AE82" s="6"/>
      <c r="AJ82" s="143">
        <v>174.07300000000001</v>
      </c>
    </row>
    <row r="83" spans="1:36" x14ac:dyDescent="0.25">
      <c r="A83" s="250" t="s">
        <v>285</v>
      </c>
      <c r="B83" s="220">
        <f>B82/B$61</f>
        <v>0.11313657407407407</v>
      </c>
      <c r="C83" s="220">
        <f t="shared" ref="C83:R83" si="41">C82/C$61</f>
        <v>6.0047405846721094E-2</v>
      </c>
      <c r="D83" s="220">
        <f t="shared" si="41"/>
        <v>8.5343995588032545E-2</v>
      </c>
      <c r="E83" s="220"/>
      <c r="F83" s="220"/>
      <c r="G83" s="220">
        <f t="shared" si="41"/>
        <v>1.0294064009580975E-2</v>
      </c>
      <c r="H83" s="220">
        <f t="shared" si="41"/>
        <v>0.1001598086124402</v>
      </c>
      <c r="I83" s="220">
        <f t="shared" si="41"/>
        <v>9.1516892506437672E-2</v>
      </c>
      <c r="J83" s="220">
        <f t="shared" si="41"/>
        <v>9.6041768639252761E-2</v>
      </c>
      <c r="K83" s="220">
        <f t="shared" si="41"/>
        <v>5.1417587698222009E-2</v>
      </c>
      <c r="L83" s="220">
        <f t="shared" si="41"/>
        <v>5.6590925438142856E-2</v>
      </c>
      <c r="M83" s="220">
        <f t="shared" si="41"/>
        <v>4.0299593157575732E-2</v>
      </c>
      <c r="N83" s="220">
        <f t="shared" si="41"/>
        <v>4.8092319654115215E-2</v>
      </c>
      <c r="O83" s="220">
        <f t="shared" si="41"/>
        <v>3.4528904022421807E-2</v>
      </c>
      <c r="P83" s="220">
        <f t="shared" si="41"/>
        <v>3.3769957599589652E-2</v>
      </c>
      <c r="Q83" s="220">
        <f t="shared" si="41"/>
        <v>3.4148994524844843E-2</v>
      </c>
      <c r="R83" s="220">
        <f t="shared" si="41"/>
        <v>4.1000000000000002E-2</v>
      </c>
      <c r="S83" s="16"/>
      <c r="T83" s="6"/>
      <c r="U83" s="6"/>
      <c r="V83" s="6"/>
      <c r="W83" s="6"/>
      <c r="X83" s="6"/>
      <c r="Y83" s="6"/>
      <c r="Z83" s="6"/>
      <c r="AA83" s="6"/>
      <c r="AB83" s="6"/>
      <c r="AC83" s="220"/>
      <c r="AD83" s="6"/>
      <c r="AE83" s="6"/>
      <c r="AJ83" s="140"/>
    </row>
    <row r="84" spans="1:36" x14ac:dyDescent="0.25">
      <c r="A84" s="249"/>
      <c r="B84" s="16"/>
      <c r="C84" s="16"/>
      <c r="D84" s="16"/>
      <c r="E84" s="16"/>
      <c r="F84" s="16"/>
      <c r="G84" s="16"/>
      <c r="H84" s="16"/>
      <c r="I84" s="16"/>
      <c r="J84" s="16"/>
      <c r="K84" s="16"/>
      <c r="L84" s="16"/>
      <c r="M84" s="16"/>
      <c r="N84" s="16"/>
      <c r="O84" s="16"/>
      <c r="P84" s="16"/>
      <c r="Q84" s="16"/>
      <c r="R84" s="16"/>
      <c r="S84" s="16"/>
      <c r="T84" s="6"/>
      <c r="U84" s="6"/>
      <c r="V84" s="6"/>
      <c r="W84" s="6"/>
      <c r="X84" s="6"/>
      <c r="Y84" s="6"/>
      <c r="Z84" s="6"/>
      <c r="AA84" s="6"/>
      <c r="AB84" s="6"/>
      <c r="AC84" s="16"/>
      <c r="AD84" s="6"/>
      <c r="AE84" s="6"/>
      <c r="AJ84" s="136"/>
    </row>
    <row r="85" spans="1:36" x14ac:dyDescent="0.25">
      <c r="A85" s="249" t="s">
        <v>240</v>
      </c>
      <c r="B85" s="234">
        <v>298</v>
      </c>
      <c r="C85" s="234">
        <f>D85-B85</f>
        <v>319</v>
      </c>
      <c r="D85" s="234">
        <f>Master!G288</f>
        <v>617</v>
      </c>
      <c r="E85" s="234"/>
      <c r="F85" s="234"/>
      <c r="G85" s="383">
        <f>K85-J85</f>
        <v>326.63</v>
      </c>
      <c r="H85" s="235">
        <v>153.15299999999999</v>
      </c>
      <c r="I85" s="235">
        <v>130.21700000000001</v>
      </c>
      <c r="J85" s="234">
        <f>H85+I85</f>
        <v>283.37</v>
      </c>
      <c r="K85" s="234">
        <f>Master!H288</f>
        <v>610</v>
      </c>
      <c r="L85" s="235">
        <v>268.339</v>
      </c>
      <c r="M85" s="235">
        <v>252.792</v>
      </c>
      <c r="N85" s="234">
        <f>L85+M85</f>
        <v>521.13099999999997</v>
      </c>
      <c r="O85" s="235">
        <v>193.31700000000001</v>
      </c>
      <c r="P85" s="234">
        <f>Q85-O85</f>
        <v>193.20709068286021</v>
      </c>
      <c r="Q85" s="234">
        <f>R85-N85</f>
        <v>386.52409068286022</v>
      </c>
      <c r="R85" s="234">
        <f>Master!I288</f>
        <v>907.65509068286019</v>
      </c>
      <c r="S85" s="16"/>
      <c r="T85" s="6"/>
      <c r="U85" s="6"/>
      <c r="V85" s="6"/>
      <c r="W85" s="6"/>
      <c r="X85" s="6"/>
      <c r="Y85" s="6"/>
      <c r="Z85" s="6"/>
      <c r="AA85" s="6"/>
      <c r="AB85" s="6"/>
      <c r="AC85" s="234"/>
      <c r="AD85" s="6"/>
      <c r="AE85" s="6"/>
      <c r="AJ85" s="143">
        <v>130.21700000000001</v>
      </c>
    </row>
    <row r="86" spans="1:36" x14ac:dyDescent="0.25">
      <c r="A86" s="250" t="s">
        <v>285</v>
      </c>
      <c r="B86" s="220">
        <f t="shared" ref="B86:R86" si="42">B85/B$61</f>
        <v>8.6226851851851846E-2</v>
      </c>
      <c r="C86" s="220">
        <f t="shared" si="42"/>
        <v>8.4013695022386092E-2</v>
      </c>
      <c r="D86" s="220">
        <f t="shared" si="42"/>
        <v>8.5068247621673795E-2</v>
      </c>
      <c r="E86" s="220"/>
      <c r="F86" s="220"/>
      <c r="G86" s="220">
        <f t="shared" si="42"/>
        <v>7.5400850524733415E-2</v>
      </c>
      <c r="H86" s="220">
        <f t="shared" si="42"/>
        <v>7.3278947368421055E-2</v>
      </c>
      <c r="I86" s="220">
        <f t="shared" si="42"/>
        <v>6.8460101173133087E-2</v>
      </c>
      <c r="J86" s="220">
        <f t="shared" si="42"/>
        <v>7.0982939746288026E-2</v>
      </c>
      <c r="K86" s="220">
        <f t="shared" si="42"/>
        <v>7.3282075925036036E-2</v>
      </c>
      <c r="L86" s="220">
        <f t="shared" si="42"/>
        <v>0.14088351524423698</v>
      </c>
      <c r="M86" s="220">
        <f t="shared" si="42"/>
        <v>0.12169744422465249</v>
      </c>
      <c r="N86" s="220">
        <f t="shared" si="42"/>
        <v>0.13087482772060802</v>
      </c>
      <c r="O86" s="220">
        <f t="shared" si="42"/>
        <v>9.3902006596363746E-2</v>
      </c>
      <c r="P86" s="220">
        <f t="shared" si="42"/>
        <v>9.3633068560288274E-2</v>
      </c>
      <c r="Q86" s="220">
        <f t="shared" si="42"/>
        <v>9.376738297723726E-2</v>
      </c>
      <c r="R86" s="220">
        <f t="shared" si="42"/>
        <v>0.112</v>
      </c>
      <c r="S86" s="16"/>
      <c r="T86" s="6"/>
      <c r="U86" s="6"/>
      <c r="V86" s="6"/>
      <c r="W86" s="6"/>
      <c r="X86" s="6"/>
      <c r="Y86" s="6"/>
      <c r="Z86" s="6"/>
      <c r="AA86" s="6"/>
      <c r="AB86" s="6"/>
      <c r="AC86" s="220"/>
      <c r="AD86" s="6"/>
      <c r="AE86" s="6"/>
      <c r="AJ86" s="140"/>
    </row>
    <row r="87" spans="1:36" x14ac:dyDescent="0.25">
      <c r="A87" s="249"/>
      <c r="B87" s="16"/>
      <c r="C87" s="16"/>
      <c r="D87" s="16"/>
      <c r="E87" s="16"/>
      <c r="F87" s="16"/>
      <c r="G87" s="16"/>
      <c r="H87" s="16"/>
      <c r="I87" s="16"/>
      <c r="J87" s="16"/>
      <c r="K87" s="16"/>
      <c r="L87" s="16"/>
      <c r="M87" s="16"/>
      <c r="N87" s="16"/>
      <c r="O87" s="16"/>
      <c r="P87" s="16"/>
      <c r="Q87" s="16"/>
      <c r="R87" s="16"/>
      <c r="S87" s="16"/>
      <c r="T87" s="6"/>
      <c r="U87" s="6"/>
      <c r="V87" s="6"/>
      <c r="W87" s="6"/>
      <c r="X87" s="6"/>
      <c r="Y87" s="6"/>
      <c r="Z87" s="6"/>
      <c r="AA87" s="6"/>
      <c r="AB87" s="6"/>
      <c r="AC87" s="16"/>
      <c r="AD87" s="6"/>
      <c r="AE87" s="6"/>
      <c r="AJ87" s="136"/>
    </row>
    <row r="88" spans="1:36" x14ac:dyDescent="0.25">
      <c r="A88" s="251" t="s">
        <v>242</v>
      </c>
      <c r="B88" s="252">
        <v>3199</v>
      </c>
      <c r="C88" s="252">
        <f>D88-B88</f>
        <v>3313</v>
      </c>
      <c r="D88" s="252">
        <f>Master!G291</f>
        <v>6512</v>
      </c>
      <c r="E88" s="252"/>
      <c r="F88" s="252"/>
      <c r="G88" s="384">
        <f>K88-J88</f>
        <v>4454.335</v>
      </c>
      <c r="H88" s="253">
        <f>391.561+1114.609</f>
        <v>1506.1699999999998</v>
      </c>
      <c r="I88" s="253">
        <f>387.295+1042.2</f>
        <v>1429.4950000000001</v>
      </c>
      <c r="J88" s="252">
        <f>H88+I88</f>
        <v>2935.665</v>
      </c>
      <c r="K88" s="252">
        <f>Master!H291</f>
        <v>7390</v>
      </c>
      <c r="L88" s="253">
        <f>795.644+1014.551</f>
        <v>1810.1950000000002</v>
      </c>
      <c r="M88" s="253">
        <f>984.267+1033.646</f>
        <v>2017.913</v>
      </c>
      <c r="N88" s="234">
        <f>L88+M88</f>
        <v>3828.1080000000002</v>
      </c>
      <c r="O88" s="253">
        <f>890.924+964.549</f>
        <v>1855.473</v>
      </c>
      <c r="P88" s="234">
        <f>Q88-O88</f>
        <v>1794.8972608695658</v>
      </c>
      <c r="Q88" s="252">
        <f>R88-N88</f>
        <v>3650.3702608695658</v>
      </c>
      <c r="R88" s="252">
        <f>Master!I291</f>
        <v>7478.4782608695659</v>
      </c>
      <c r="S88" s="16"/>
      <c r="T88" s="12"/>
      <c r="U88" s="6"/>
      <c r="V88" s="6"/>
      <c r="W88" s="6"/>
      <c r="X88" s="6"/>
      <c r="Y88" s="6"/>
      <c r="Z88" s="6"/>
      <c r="AA88" s="6"/>
      <c r="AB88" s="6"/>
      <c r="AC88" s="252"/>
      <c r="AD88" s="6"/>
      <c r="AE88" s="6"/>
      <c r="AJ88" s="147">
        <v>387.29500000000002</v>
      </c>
    </row>
    <row r="89" spans="1:36" x14ac:dyDescent="0.25">
      <c r="A89" s="254" t="s">
        <v>56</v>
      </c>
      <c r="B89" s="232">
        <f>B82+B85+B88</f>
        <v>3888</v>
      </c>
      <c r="C89" s="232">
        <f>D89-B89</f>
        <v>3860</v>
      </c>
      <c r="D89" s="232">
        <f>Master!G295</f>
        <v>7748</v>
      </c>
      <c r="E89" s="232"/>
      <c r="F89" s="232"/>
      <c r="G89" s="232">
        <f>G82+G85+G88</f>
        <v>4825.558</v>
      </c>
      <c r="H89" s="232">
        <f>H82+H85+H88</f>
        <v>1868.6569999999997</v>
      </c>
      <c r="I89" s="232">
        <f>I82+I85+I88</f>
        <v>1733.7850000000001</v>
      </c>
      <c r="J89" s="232">
        <f>K89-G89</f>
        <v>3602.442</v>
      </c>
      <c r="K89" s="232">
        <f>Master!H295</f>
        <v>8428</v>
      </c>
      <c r="L89" s="232">
        <f>L82+L85+L88</f>
        <v>2186.3220000000001</v>
      </c>
      <c r="M89" s="232">
        <f t="shared" ref="M89:P89" si="43">M82+M85+M88</f>
        <v>2354.4160000000002</v>
      </c>
      <c r="N89" s="265">
        <f t="shared" si="43"/>
        <v>4540.7380000000003</v>
      </c>
      <c r="O89" s="232">
        <f t="shared" si="43"/>
        <v>2119.875</v>
      </c>
      <c r="P89" s="265">
        <f t="shared" si="43"/>
        <v>2057.7869472488301</v>
      </c>
      <c r="Q89" s="232">
        <f>Q57-Q82-Q85-Q88</f>
        <v>2670.7708484436034</v>
      </c>
      <c r="R89" s="232">
        <f>R57-R82-R85-R88</f>
        <v>4698.7748484436033</v>
      </c>
      <c r="S89" s="16"/>
      <c r="T89" s="6"/>
      <c r="U89" s="6"/>
      <c r="V89" s="6"/>
      <c r="W89" s="6"/>
      <c r="X89" s="6"/>
      <c r="Y89" s="6"/>
      <c r="Z89" s="6"/>
      <c r="AA89" s="6"/>
      <c r="AB89" s="6"/>
      <c r="AC89" s="232"/>
      <c r="AD89" s="6"/>
      <c r="AE89" s="6"/>
      <c r="AJ89" s="137">
        <v>691.58500000000004</v>
      </c>
    </row>
    <row r="90" spans="1:36" x14ac:dyDescent="0.25">
      <c r="A90" s="248"/>
      <c r="B90" s="16"/>
      <c r="C90" s="16"/>
      <c r="D90" s="16"/>
      <c r="E90" s="16"/>
      <c r="F90" s="16"/>
      <c r="G90" s="16"/>
      <c r="H90" s="16"/>
      <c r="I90" s="16"/>
      <c r="J90" s="16"/>
      <c r="K90" s="16"/>
      <c r="L90" s="234"/>
      <c r="M90" s="234"/>
      <c r="N90" s="234"/>
      <c r="O90" s="234"/>
      <c r="P90" s="234"/>
      <c r="Q90" s="234"/>
      <c r="R90" s="234"/>
      <c r="S90" s="16"/>
      <c r="T90" s="6"/>
      <c r="U90" s="6"/>
      <c r="V90" s="6"/>
      <c r="W90" s="6"/>
      <c r="X90" s="6"/>
      <c r="Y90" s="6"/>
      <c r="Z90" s="6"/>
      <c r="AA90" s="6"/>
      <c r="AB90" s="6"/>
      <c r="AC90" s="16"/>
      <c r="AD90" s="6"/>
      <c r="AE90" s="6"/>
      <c r="AJ90" s="136"/>
    </row>
    <row r="91" spans="1:36" x14ac:dyDescent="0.25">
      <c r="A91" s="6"/>
      <c r="B91" s="16"/>
      <c r="C91" s="16"/>
      <c r="D91" s="16"/>
      <c r="E91" s="16"/>
      <c r="F91" s="16"/>
      <c r="G91" s="16"/>
      <c r="H91" s="16"/>
      <c r="I91" s="16"/>
      <c r="J91" s="16"/>
      <c r="K91" s="16"/>
      <c r="L91" s="16"/>
      <c r="M91" s="16"/>
      <c r="N91" s="16"/>
      <c r="O91" s="16"/>
      <c r="P91" s="16"/>
      <c r="Q91" s="16"/>
      <c r="R91" s="16"/>
      <c r="S91" s="16"/>
      <c r="T91" s="6"/>
      <c r="U91" s="6"/>
      <c r="V91" s="6"/>
      <c r="W91" s="6"/>
      <c r="X91" s="6"/>
      <c r="Y91" s="6"/>
      <c r="Z91" s="6"/>
      <c r="AA91" s="6"/>
      <c r="AB91" s="6"/>
      <c r="AC91" s="16"/>
      <c r="AD91" s="6"/>
      <c r="AE91" s="6"/>
      <c r="AJ91" s="136"/>
    </row>
    <row r="92" spans="1:36" x14ac:dyDescent="0.25">
      <c r="A92" s="248"/>
      <c r="B92" s="16"/>
      <c r="C92" s="16"/>
      <c r="D92" s="16"/>
      <c r="E92" s="16"/>
      <c r="F92" s="16"/>
      <c r="G92" s="16"/>
      <c r="H92" s="16"/>
      <c r="I92" s="16"/>
      <c r="J92" s="16"/>
      <c r="K92" s="16"/>
      <c r="L92" s="16"/>
      <c r="M92" s="16"/>
      <c r="N92" s="16"/>
      <c r="O92" s="16"/>
      <c r="P92" s="16"/>
      <c r="Q92" s="16"/>
      <c r="R92" s="16"/>
      <c r="S92" s="16"/>
      <c r="T92" s="6"/>
      <c r="U92" s="6"/>
      <c r="V92" s="6"/>
      <c r="W92" s="6"/>
      <c r="X92" s="6"/>
      <c r="Y92" s="6"/>
      <c r="Z92" s="6"/>
      <c r="AA92" s="6"/>
      <c r="AB92" s="6"/>
      <c r="AC92" s="16"/>
      <c r="AD92" s="6"/>
      <c r="AE92" s="6"/>
      <c r="AJ92" s="136"/>
    </row>
    <row r="93" spans="1:36" x14ac:dyDescent="0.25">
      <c r="A93" s="20" t="s">
        <v>38</v>
      </c>
      <c r="B93" s="232">
        <f>B57-B82-B85</f>
        <v>5171</v>
      </c>
      <c r="C93" s="232">
        <f>D93-B93</f>
        <v>5730</v>
      </c>
      <c r="D93" s="232">
        <f>Master!G297</f>
        <v>10901</v>
      </c>
      <c r="E93" s="232"/>
      <c r="F93" s="232"/>
      <c r="G93" s="385">
        <f ca="1">K93-J93</f>
        <v>5140.3949999999995</v>
      </c>
      <c r="H93" s="231">
        <v>2894.645</v>
      </c>
      <c r="I93" s="231">
        <v>2765.3139999999999</v>
      </c>
      <c r="J93" s="232">
        <f ca="1">K93-G93</f>
        <v>6062.6050000000005</v>
      </c>
      <c r="K93" s="232">
        <f>Master!H297</f>
        <v>11203</v>
      </c>
      <c r="L93" s="231">
        <v>2774.1559999999999</v>
      </c>
      <c r="M93" s="231">
        <v>3081.9569999999999</v>
      </c>
      <c r="N93" s="232">
        <f>L93+M93</f>
        <v>5856.1129999999994</v>
      </c>
      <c r="O93" s="231">
        <v>3156.1120000000001</v>
      </c>
      <c r="P93" s="232">
        <f>Q93-O93</f>
        <v>3165.0281093131698</v>
      </c>
      <c r="Q93" s="232">
        <f>R93-N93</f>
        <v>6321.1401093131699</v>
      </c>
      <c r="R93" s="232">
        <f>Master!I297</f>
        <v>12177.253109313169</v>
      </c>
      <c r="S93" s="16"/>
      <c r="T93" s="6"/>
      <c r="U93" s="6"/>
      <c r="V93" s="6"/>
      <c r="W93" s="6"/>
      <c r="X93" s="6"/>
      <c r="Y93" s="6"/>
      <c r="Z93" s="6"/>
      <c r="AA93" s="6"/>
      <c r="AB93" s="6"/>
      <c r="AC93" s="232">
        <f ca="1">J93-H93</f>
        <v>3167.9600000000005</v>
      </c>
      <c r="AD93" s="6"/>
      <c r="AE93" s="6"/>
      <c r="AJ93" s="146">
        <v>2765.3139999999999</v>
      </c>
    </row>
    <row r="94" spans="1:36" x14ac:dyDescent="0.25">
      <c r="A94" s="233" t="s">
        <v>39</v>
      </c>
      <c r="B94" s="220">
        <f>B93/B$57</f>
        <v>0.8824232081911263</v>
      </c>
      <c r="C94" s="220">
        <f>C93/C$57</f>
        <v>0.91285646009240085</v>
      </c>
      <c r="D94" s="220">
        <f>D93/D$57</f>
        <v>0.89816264315728767</v>
      </c>
      <c r="E94" s="220"/>
      <c r="F94" s="220"/>
      <c r="G94" s="220">
        <f t="shared" ref="G94:R94" ca="1" si="44">G93/G$57</f>
        <v>0.86913285297989062</v>
      </c>
      <c r="H94" s="220">
        <f t="shared" si="44"/>
        <v>0.88874577832361068</v>
      </c>
      <c r="I94" s="220">
        <f t="shared" si="44"/>
        <v>0.90086965586777445</v>
      </c>
      <c r="J94" s="220">
        <f t="shared" ca="1" si="44"/>
        <v>0.95827145838882011</v>
      </c>
      <c r="K94" s="220">
        <f t="shared" si="44"/>
        <v>0.9152030062903358</v>
      </c>
      <c r="L94" s="220">
        <f t="shared" si="44"/>
        <v>0.88060532974339134</v>
      </c>
      <c r="M94" s="220">
        <f t="shared" si="44"/>
        <v>0.90168431831480389</v>
      </c>
      <c r="N94" s="220">
        <f t="shared" si="44"/>
        <v>0.89151210383966961</v>
      </c>
      <c r="O94" s="220">
        <f t="shared" si="44"/>
        <v>0.92257000876936568</v>
      </c>
      <c r="P94" s="220">
        <f t="shared" si="44"/>
        <v>0.92343987409204598</v>
      </c>
      <c r="Q94" s="220">
        <f t="shared" si="44"/>
        <v>0.92300534996694084</v>
      </c>
      <c r="R94" s="220">
        <f t="shared" si="44"/>
        <v>0.90758697674734479</v>
      </c>
      <c r="S94" s="16"/>
      <c r="T94" s="6"/>
      <c r="U94" s="6"/>
      <c r="V94" s="6"/>
      <c r="W94" s="6"/>
      <c r="X94" s="6"/>
      <c r="Y94" s="6"/>
      <c r="Z94" s="6"/>
      <c r="AA94" s="6"/>
      <c r="AB94" s="6"/>
      <c r="AC94" s="220">
        <f ca="1">AC93/AC$57</f>
        <v>1.0320415818973454</v>
      </c>
      <c r="AD94" s="6"/>
      <c r="AE94" s="6"/>
      <c r="AJ94" s="140">
        <v>0.90086965586777445</v>
      </c>
    </row>
    <row r="95" spans="1:36" x14ac:dyDescent="0.25">
      <c r="A95" s="233"/>
      <c r="B95" s="16"/>
      <c r="C95" s="16"/>
      <c r="D95" s="16"/>
      <c r="E95" s="16"/>
      <c r="F95" s="16"/>
      <c r="G95" s="16"/>
      <c r="H95" s="16"/>
      <c r="I95" s="16"/>
      <c r="J95" s="16"/>
      <c r="K95" s="16"/>
      <c r="L95" s="16"/>
      <c r="M95" s="16"/>
      <c r="N95" s="16"/>
      <c r="O95" s="16"/>
      <c r="P95" s="16"/>
      <c r="Q95" s="16"/>
      <c r="R95" s="16"/>
      <c r="S95" s="16"/>
      <c r="T95" s="6"/>
      <c r="U95" s="6"/>
      <c r="V95" s="6"/>
      <c r="W95" s="6"/>
      <c r="X95" s="6"/>
      <c r="Y95" s="6"/>
      <c r="Z95" s="6"/>
      <c r="AA95" s="6"/>
      <c r="AB95" s="6"/>
      <c r="AC95" s="16"/>
      <c r="AD95" s="6"/>
      <c r="AE95" s="6"/>
      <c r="AJ95" s="136"/>
    </row>
    <row r="96" spans="1:36" x14ac:dyDescent="0.25">
      <c r="A96" s="39" t="s">
        <v>287</v>
      </c>
      <c r="B96" s="234">
        <f>B93-B99</f>
        <v>2404</v>
      </c>
      <c r="C96" s="234">
        <f>C93-C99</f>
        <v>2480</v>
      </c>
      <c r="D96" s="234">
        <f>Master!G300</f>
        <v>4884</v>
      </c>
      <c r="E96" s="234"/>
      <c r="F96" s="234"/>
      <c r="G96" s="383">
        <f ca="1">K96-J96</f>
        <v>2224.3949999999995</v>
      </c>
      <c r="H96" s="234">
        <f>H93-H99</f>
        <v>1166.951</v>
      </c>
      <c r="I96" s="234">
        <f>I93-I99</f>
        <v>1167.5189999999998</v>
      </c>
      <c r="J96" s="234">
        <f ca="1">J93-J99</f>
        <v>1692.6050000000005</v>
      </c>
      <c r="K96" s="234">
        <f>Master!H300</f>
        <v>3917</v>
      </c>
      <c r="L96" s="234">
        <f t="shared" ref="L96:Q96" si="45">L93-L99</f>
        <v>1245.595</v>
      </c>
      <c r="M96" s="234">
        <f t="shared" si="45"/>
        <v>1341.2429999999999</v>
      </c>
      <c r="N96" s="234">
        <f t="shared" si="45"/>
        <v>2586.8379999999997</v>
      </c>
      <c r="O96" s="234">
        <f t="shared" si="45"/>
        <v>1361.8030000000001</v>
      </c>
      <c r="P96" s="234">
        <f t="shared" si="45"/>
        <v>1364.4704860240397</v>
      </c>
      <c r="Q96" s="234">
        <f t="shared" si="45"/>
        <v>2726.2734860240398</v>
      </c>
      <c r="R96" s="234">
        <f>Master!I300</f>
        <v>5313.1114860240396</v>
      </c>
      <c r="S96" s="16"/>
      <c r="T96" s="6"/>
      <c r="U96" s="6"/>
      <c r="V96" s="6"/>
      <c r="W96" s="6"/>
      <c r="X96" s="6"/>
      <c r="Y96" s="6"/>
      <c r="Z96" s="6"/>
      <c r="AA96" s="6"/>
      <c r="AB96" s="6"/>
      <c r="AC96" s="234">
        <f ca="1">AC93-AC99</f>
        <v>525.65400000000045</v>
      </c>
      <c r="AD96" s="6"/>
      <c r="AE96" s="6"/>
      <c r="AJ96" s="138">
        <v>1167.5189999999998</v>
      </c>
    </row>
    <row r="97" spans="1:36" x14ac:dyDescent="0.25">
      <c r="A97" s="233" t="s">
        <v>288</v>
      </c>
      <c r="B97" s="16"/>
      <c r="C97" s="16"/>
      <c r="D97" s="16"/>
      <c r="E97" s="16"/>
      <c r="F97" s="16"/>
      <c r="G97" s="16"/>
      <c r="H97" s="16"/>
      <c r="I97" s="16"/>
      <c r="J97" s="16"/>
      <c r="K97" s="16"/>
      <c r="L97" s="16"/>
      <c r="M97" s="16"/>
      <c r="N97" s="16"/>
      <c r="O97" s="16"/>
      <c r="P97" s="16"/>
      <c r="Q97" s="16"/>
      <c r="R97" s="16"/>
      <c r="S97" s="16"/>
      <c r="T97" s="6"/>
      <c r="U97" s="6"/>
      <c r="V97" s="6"/>
      <c r="W97" s="6"/>
      <c r="X97" s="6"/>
      <c r="Y97" s="6"/>
      <c r="Z97" s="6"/>
      <c r="AA97" s="6"/>
      <c r="AB97" s="6"/>
      <c r="AC97" s="16"/>
      <c r="AD97" s="6"/>
      <c r="AE97" s="6"/>
      <c r="AJ97" s="136"/>
    </row>
    <row r="98" spans="1:36" x14ac:dyDescent="0.25">
      <c r="A98" s="233"/>
      <c r="B98" s="16"/>
      <c r="C98" s="16"/>
      <c r="D98" s="16"/>
      <c r="E98" s="16"/>
      <c r="F98" s="16"/>
      <c r="G98" s="16"/>
      <c r="H98" s="16"/>
      <c r="I98" s="16"/>
      <c r="J98" s="16"/>
      <c r="K98" s="16"/>
      <c r="L98" s="16"/>
      <c r="M98" s="16"/>
      <c r="N98" s="16"/>
      <c r="O98" s="16"/>
      <c r="P98" s="16"/>
      <c r="Q98" s="16"/>
      <c r="R98" s="16"/>
      <c r="S98" s="16"/>
      <c r="T98" s="6"/>
      <c r="U98" s="6"/>
      <c r="V98" s="12"/>
      <c r="W98" s="12"/>
      <c r="X98" s="6"/>
      <c r="Y98" s="6"/>
      <c r="Z98" s="6"/>
      <c r="AA98" s="6"/>
      <c r="AB98" s="6"/>
      <c r="AC98" s="16"/>
      <c r="AD98" s="6"/>
      <c r="AE98" s="6"/>
      <c r="AJ98" s="136"/>
    </row>
    <row r="99" spans="1:36" x14ac:dyDescent="0.25">
      <c r="A99" s="20" t="s">
        <v>245</v>
      </c>
      <c r="B99" s="232">
        <v>2767</v>
      </c>
      <c r="C99" s="232">
        <f>D99-B99</f>
        <v>3250</v>
      </c>
      <c r="D99" s="232">
        <f>Master!G303</f>
        <v>6017</v>
      </c>
      <c r="E99" s="232"/>
      <c r="F99" s="232"/>
      <c r="G99" s="385">
        <f ca="1">K99-J99</f>
        <v>2916</v>
      </c>
      <c r="H99" s="231">
        <v>1727.694</v>
      </c>
      <c r="I99" s="231">
        <v>1597.7950000000001</v>
      </c>
      <c r="J99" s="232">
        <f ca="1">K99-G99</f>
        <v>4370</v>
      </c>
      <c r="K99" s="232">
        <f>Master!H303</f>
        <v>7286</v>
      </c>
      <c r="L99" s="231">
        <v>1528.5609999999999</v>
      </c>
      <c r="M99" s="231">
        <v>1740.7139999999999</v>
      </c>
      <c r="N99" s="232">
        <f>L99+M99</f>
        <v>3269.2749999999996</v>
      </c>
      <c r="O99" s="231">
        <v>1794.309</v>
      </c>
      <c r="P99" s="232">
        <f>Q99-O99</f>
        <v>1800.5576232891301</v>
      </c>
      <c r="Q99" s="232">
        <f>R99-N99</f>
        <v>3594.8666232891301</v>
      </c>
      <c r="R99" s="232">
        <f>Master!I303</f>
        <v>6864.1416232891297</v>
      </c>
      <c r="S99" s="16"/>
      <c r="T99" s="6"/>
      <c r="U99" s="12"/>
      <c r="W99" s="6"/>
      <c r="X99" s="6"/>
      <c r="Y99" s="6"/>
      <c r="Z99" s="6"/>
      <c r="AA99" s="6"/>
      <c r="AB99" s="6"/>
      <c r="AC99" s="232">
        <f ca="1">J99-H99</f>
        <v>2642.306</v>
      </c>
      <c r="AD99" s="6"/>
      <c r="AE99" s="6"/>
      <c r="AJ99" s="146">
        <v>1597.7950000000001</v>
      </c>
    </row>
    <row r="100" spans="1:36" x14ac:dyDescent="0.25">
      <c r="A100" s="233" t="s">
        <v>39</v>
      </c>
      <c r="B100" s="220">
        <f>B99/B$57</f>
        <v>0.47218430034129694</v>
      </c>
      <c r="C100" s="220">
        <f>C99/C$57</f>
        <v>0.51776326270511386</v>
      </c>
      <c r="D100" s="220">
        <f>D99/D$57</f>
        <v>0.49575677679822033</v>
      </c>
      <c r="E100" s="220"/>
      <c r="F100" s="220"/>
      <c r="G100" s="220">
        <f t="shared" ref="G100:R100" ca="1" si="46">G99/G$57</f>
        <v>0.49303436784320293</v>
      </c>
      <c r="H100" s="220">
        <f t="shared" si="46"/>
        <v>0.53045563401903595</v>
      </c>
      <c r="I100" s="220">
        <f t="shared" si="46"/>
        <v>0.5205213700134057</v>
      </c>
      <c r="J100" s="220">
        <f t="shared" ca="1" si="46"/>
        <v>0.69073381379112497</v>
      </c>
      <c r="K100" s="220">
        <f t="shared" si="46"/>
        <v>0.59521280941099586</v>
      </c>
      <c r="L100" s="220">
        <f t="shared" ref="L100:O100" si="47">L99/L$57</f>
        <v>0.48521386808740674</v>
      </c>
      <c r="M100" s="220">
        <f t="shared" si="47"/>
        <v>0.50927852545348151</v>
      </c>
      <c r="N100" s="220">
        <f t="shared" si="46"/>
        <v>0.49770184306218751</v>
      </c>
      <c r="O100" s="220">
        <f t="shared" si="47"/>
        <v>0.52449839228295814</v>
      </c>
      <c r="P100" s="220">
        <f t="shared" ref="P100" si="48">P99/P$57</f>
        <v>0.52533710523866572</v>
      </c>
      <c r="Q100" s="220">
        <f t="shared" si="46"/>
        <v>0.52491814266619508</v>
      </c>
      <c r="R100" s="220">
        <f t="shared" si="46"/>
        <v>0.51159366467319578</v>
      </c>
      <c r="S100" s="16"/>
      <c r="T100" s="6"/>
      <c r="U100" s="6"/>
      <c r="V100" s="6"/>
      <c r="W100" s="6"/>
      <c r="X100" s="6"/>
      <c r="Y100" s="6"/>
      <c r="Z100" s="6"/>
      <c r="AA100" s="6"/>
      <c r="AB100" s="6"/>
      <c r="AC100" s="220">
        <f ca="1">AC99/AC$57</f>
        <v>0.86079674746425039</v>
      </c>
      <c r="AD100" s="6"/>
      <c r="AE100" s="6"/>
      <c r="AJ100" s="140">
        <v>0.5205213700134057</v>
      </c>
    </row>
    <row r="101" spans="1:36" x14ac:dyDescent="0.25">
      <c r="A101" s="233" t="s">
        <v>563</v>
      </c>
      <c r="B101" s="220"/>
      <c r="C101" s="220"/>
      <c r="D101" s="220"/>
      <c r="E101" s="220"/>
      <c r="F101" s="220"/>
      <c r="G101" s="220">
        <f t="shared" ref="G101:H101" ca="1" si="49">G99/G$61</f>
        <v>0.67314355732823883</v>
      </c>
      <c r="H101" s="220">
        <f t="shared" si="49"/>
        <v>0.82664784688995219</v>
      </c>
      <c r="I101" s="220">
        <f>I99/I$61</f>
        <v>0.84002248058184548</v>
      </c>
      <c r="J101" s="220">
        <f t="shared" ref="J101:K101" ca="1" si="50">J99/J$61</f>
        <v>1.0946657962779358</v>
      </c>
      <c r="K101" s="220">
        <f t="shared" si="50"/>
        <v>0.87530033637674198</v>
      </c>
      <c r="L101" s="220">
        <f>L99/L$61</f>
        <v>0.80252608433826655</v>
      </c>
      <c r="M101" s="220">
        <f>M99/M$61</f>
        <v>0.83800296261777174</v>
      </c>
      <c r="N101" s="220">
        <f t="shared" ref="N101:O101" si="51">N99/N$61</f>
        <v>0.82103310376141658</v>
      </c>
      <c r="O101" s="220">
        <f t="shared" si="51"/>
        <v>0.87156957512228528</v>
      </c>
      <c r="P101" s="220">
        <f t="shared" ref="P101:R101" si="52">P99/P$61</f>
        <v>0.87259600458927122</v>
      </c>
      <c r="Q101" s="220">
        <f t="shared" si="52"/>
        <v>0.87208337990661466</v>
      </c>
      <c r="R101" s="220">
        <f t="shared" si="52"/>
        <v>0.84699999999999998</v>
      </c>
      <c r="S101" s="16"/>
      <c r="T101" s="6"/>
      <c r="U101" s="6"/>
      <c r="V101" s="6"/>
      <c r="W101" s="6"/>
      <c r="X101" s="6"/>
      <c r="Y101" s="6"/>
      <c r="Z101" s="6"/>
      <c r="AA101" s="6"/>
      <c r="AB101" s="6"/>
      <c r="AC101" s="220"/>
      <c r="AD101" s="6"/>
      <c r="AE101" s="6"/>
      <c r="AJ101" s="140">
        <v>0.84002248058184548</v>
      </c>
    </row>
    <row r="102" spans="1:36" x14ac:dyDescent="0.25">
      <c r="A102" s="6" t="s">
        <v>513</v>
      </c>
      <c r="B102" s="220"/>
      <c r="C102" s="220"/>
      <c r="D102" s="220"/>
      <c r="E102" s="220"/>
      <c r="F102" s="220"/>
      <c r="G102" s="234">
        <f ca="1">G99*2*1000000/G4/20</f>
        <v>10024.063251976624</v>
      </c>
      <c r="H102" s="234"/>
      <c r="I102" s="234"/>
      <c r="J102" s="220"/>
      <c r="K102" s="232"/>
      <c r="L102" s="220"/>
      <c r="M102" s="220"/>
      <c r="N102" s="220"/>
      <c r="O102" s="220"/>
      <c r="P102" s="220"/>
      <c r="Q102" s="220"/>
      <c r="R102" s="220"/>
      <c r="S102" s="16"/>
      <c r="T102" s="6"/>
      <c r="U102" s="6"/>
      <c r="V102" s="6"/>
      <c r="W102" s="6"/>
      <c r="X102" s="6"/>
      <c r="Y102" s="6"/>
      <c r="Z102" s="6"/>
      <c r="AA102" s="6"/>
      <c r="AB102" s="6"/>
      <c r="AC102" s="234"/>
      <c r="AD102" s="6"/>
      <c r="AE102" s="6"/>
      <c r="AJ102" s="138"/>
    </row>
    <row r="103" spans="1:36" x14ac:dyDescent="0.25">
      <c r="A103" s="233"/>
      <c r="B103" s="16"/>
      <c r="C103" s="16"/>
      <c r="D103" s="16"/>
      <c r="E103" s="16"/>
      <c r="F103" s="16"/>
      <c r="G103" s="16"/>
      <c r="H103" s="16"/>
      <c r="I103" s="16"/>
      <c r="J103" s="16"/>
      <c r="K103" s="16"/>
      <c r="L103" s="16"/>
      <c r="M103" s="16"/>
      <c r="N103" s="16"/>
      <c r="O103" s="16"/>
      <c r="P103" s="16"/>
      <c r="Q103" s="16"/>
      <c r="R103" s="16"/>
      <c r="S103" s="16"/>
      <c r="T103" s="6"/>
      <c r="U103" s="6"/>
      <c r="V103" s="6"/>
      <c r="W103" s="6"/>
      <c r="X103" s="6"/>
      <c r="Y103" s="6"/>
      <c r="Z103" s="6"/>
      <c r="AA103" s="6"/>
      <c r="AB103" s="6"/>
      <c r="AC103" s="16"/>
      <c r="AD103" s="6"/>
      <c r="AE103" s="6"/>
      <c r="AJ103" s="136"/>
    </row>
    <row r="104" spans="1:36" x14ac:dyDescent="0.25">
      <c r="A104" s="248" t="s">
        <v>565</v>
      </c>
      <c r="B104" s="16"/>
      <c r="C104" s="16"/>
      <c r="D104" s="16"/>
      <c r="E104" s="16"/>
      <c r="F104" s="16"/>
      <c r="G104" s="383">
        <f>K104-J104</f>
        <v>1760.1909999999998</v>
      </c>
      <c r="H104" s="235">
        <v>1114.6089999999999</v>
      </c>
      <c r="I104" s="235">
        <v>1042.2</v>
      </c>
      <c r="J104" s="234">
        <f>H104+I104</f>
        <v>2156.8090000000002</v>
      </c>
      <c r="K104" s="234">
        <f>Master!H300</f>
        <v>3917</v>
      </c>
      <c r="L104" s="235">
        <v>1014.551</v>
      </c>
      <c r="M104" s="235">
        <v>1033.646</v>
      </c>
      <c r="N104" s="234">
        <f>L104+M104</f>
        <v>2048.1970000000001</v>
      </c>
      <c r="O104" s="235">
        <v>964.54899999999998</v>
      </c>
      <c r="P104" s="234">
        <f>Q104-O104</f>
        <v>2300.3654860240395</v>
      </c>
      <c r="Q104" s="234">
        <f>R104-N104</f>
        <v>3264.9144860240394</v>
      </c>
      <c r="R104" s="387">
        <f>Master!I300</f>
        <v>5313.1114860240396</v>
      </c>
      <c r="S104" s="16"/>
      <c r="T104" s="6"/>
      <c r="U104" s="6"/>
      <c r="V104" s="6"/>
      <c r="W104" s="6"/>
      <c r="X104" s="6"/>
      <c r="Y104" s="6"/>
      <c r="Z104" s="6"/>
      <c r="AA104" s="6"/>
      <c r="AB104" s="6"/>
      <c r="AC104" s="16"/>
      <c r="AD104" s="6"/>
      <c r="AE104" s="6"/>
      <c r="AJ104" s="148">
        <v>1042.2</v>
      </c>
    </row>
    <row r="105" spans="1:36" x14ac:dyDescent="0.25">
      <c r="A105" s="248"/>
      <c r="B105" s="16"/>
      <c r="C105" s="16"/>
      <c r="D105" s="16"/>
      <c r="E105" s="16"/>
      <c r="F105" s="16"/>
      <c r="G105" s="16"/>
      <c r="H105" s="16"/>
      <c r="I105" s="16"/>
      <c r="J105" s="16"/>
      <c r="K105" s="16"/>
      <c r="L105" s="16"/>
      <c r="M105" s="16"/>
      <c r="N105" s="16"/>
      <c r="O105" s="16"/>
      <c r="P105" s="16"/>
      <c r="Q105" s="16"/>
      <c r="R105" s="16"/>
      <c r="S105" s="16"/>
      <c r="T105" s="6"/>
      <c r="U105" s="6"/>
      <c r="V105" s="6"/>
      <c r="W105" s="6"/>
      <c r="X105" s="6"/>
      <c r="Y105" s="6"/>
      <c r="Z105" s="6"/>
      <c r="AA105" s="6"/>
      <c r="AB105" s="6"/>
      <c r="AC105" s="16"/>
      <c r="AD105" s="6"/>
      <c r="AE105" s="6"/>
      <c r="AJ105" s="136"/>
    </row>
    <row r="106" spans="1:36" x14ac:dyDescent="0.25">
      <c r="A106" s="266" t="s">
        <v>41</v>
      </c>
      <c r="B106" s="265">
        <f>B57-B89</f>
        <v>1972</v>
      </c>
      <c r="C106" s="265">
        <f>C57-C89</f>
        <v>2417</v>
      </c>
      <c r="D106" s="265">
        <f>Master!G309</f>
        <v>4389</v>
      </c>
      <c r="E106" s="265"/>
      <c r="F106" s="265"/>
      <c r="G106" s="265">
        <f>G57-G89</f>
        <v>1088.8369999999995</v>
      </c>
      <c r="H106" s="265">
        <f>H93-H88-H104</f>
        <v>273.86600000000021</v>
      </c>
      <c r="I106" s="265">
        <f>I93-I88-I104</f>
        <v>293.61899999999969</v>
      </c>
      <c r="J106" s="265">
        <f>K106-G106</f>
        <v>2724.1630000000005</v>
      </c>
      <c r="K106" s="265">
        <f>Master!H309</f>
        <v>3813</v>
      </c>
      <c r="L106" s="265">
        <f>L93-L88-L104</f>
        <v>-50.590000000000259</v>
      </c>
      <c r="M106" s="265">
        <f>M93-M88-M104</f>
        <v>30.397999999999911</v>
      </c>
      <c r="N106" s="265">
        <f t="shared" ref="N106:Q106" si="53">N93-N88-N104</f>
        <v>-20.192000000000917</v>
      </c>
      <c r="O106" s="265">
        <f t="shared" si="53"/>
        <v>336.09000000000015</v>
      </c>
      <c r="P106" s="265">
        <f t="shared" si="53"/>
        <v>-930.23463758043545</v>
      </c>
      <c r="Q106" s="265">
        <f t="shared" si="53"/>
        <v>-594.1446375804353</v>
      </c>
      <c r="R106" s="265">
        <f>Master!I309</f>
        <v>4698.7748484436033</v>
      </c>
      <c r="S106" s="16"/>
      <c r="T106" s="6"/>
      <c r="U106" s="6"/>
      <c r="V106" s="6"/>
      <c r="W106" s="6"/>
      <c r="X106" s="6"/>
      <c r="Y106" s="6"/>
      <c r="Z106" s="6"/>
      <c r="AA106" s="6"/>
      <c r="AB106" s="6"/>
      <c r="AC106" s="232"/>
      <c r="AD106" s="6"/>
      <c r="AE106" s="6"/>
      <c r="AJ106" s="137">
        <v>1335.8189999999997</v>
      </c>
    </row>
    <row r="107" spans="1:36" x14ac:dyDescent="0.25">
      <c r="A107" s="6"/>
      <c r="B107" s="16"/>
      <c r="C107" s="16"/>
      <c r="D107" s="16"/>
      <c r="E107" s="16"/>
      <c r="F107" s="16"/>
      <c r="G107" s="16"/>
      <c r="H107" s="16"/>
      <c r="I107" s="16"/>
      <c r="J107" s="16"/>
      <c r="K107" s="16"/>
      <c r="L107" s="16"/>
      <c r="M107" s="16"/>
      <c r="N107" s="16"/>
      <c r="O107" s="16"/>
      <c r="P107" s="16"/>
      <c r="Q107" s="16"/>
      <c r="R107" s="16"/>
      <c r="S107" s="16"/>
      <c r="T107" s="6"/>
      <c r="U107" s="6"/>
      <c r="V107" s="6"/>
      <c r="W107" s="6"/>
      <c r="X107" s="6"/>
      <c r="Y107" s="6"/>
      <c r="Z107" s="6"/>
      <c r="AA107" s="6"/>
      <c r="AB107" s="6"/>
      <c r="AC107" s="16"/>
      <c r="AD107" s="6"/>
      <c r="AE107" s="6"/>
      <c r="AJ107" s="136"/>
    </row>
    <row r="108" spans="1:36" x14ac:dyDescent="0.25">
      <c r="A108" s="6" t="s">
        <v>36</v>
      </c>
      <c r="B108" s="234">
        <v>-2244</v>
      </c>
      <c r="C108" s="234">
        <f>D108-B108</f>
        <v>-2413</v>
      </c>
      <c r="D108" s="234">
        <f>Master!G311</f>
        <v>-4657</v>
      </c>
      <c r="E108" s="234"/>
      <c r="F108" s="234"/>
      <c r="G108" s="235">
        <v>-1605</v>
      </c>
      <c r="H108" s="235">
        <v>-1241.809</v>
      </c>
      <c r="I108" s="235">
        <v>-916.62599999999998</v>
      </c>
      <c r="J108" s="234">
        <f>K108-G108</f>
        <v>-1456</v>
      </c>
      <c r="K108" s="234">
        <f>Master!H311</f>
        <v>-3061</v>
      </c>
      <c r="L108" s="235">
        <v>-1042.375</v>
      </c>
      <c r="M108" s="235">
        <v>-1172.1469999999999</v>
      </c>
      <c r="N108" s="234">
        <f>L108+M108</f>
        <v>-2214.5219999999999</v>
      </c>
      <c r="O108" s="235">
        <v>-1179.1389999999999</v>
      </c>
      <c r="P108" s="234">
        <f>Q108-O108</f>
        <v>-906.33900000000017</v>
      </c>
      <c r="Q108" s="234">
        <f>R108-N108</f>
        <v>-2085.4780000000001</v>
      </c>
      <c r="R108" s="234">
        <f>Master!I311</f>
        <v>-4300</v>
      </c>
      <c r="S108" s="16"/>
      <c r="T108" s="6"/>
      <c r="U108" s="6"/>
      <c r="V108" s="6"/>
      <c r="W108" s="6"/>
      <c r="X108" s="6"/>
      <c r="Y108" s="6"/>
      <c r="Z108" s="6"/>
      <c r="AA108" s="6"/>
      <c r="AB108" s="6"/>
      <c r="AC108" s="234"/>
      <c r="AD108" s="6"/>
      <c r="AE108" s="6"/>
      <c r="AJ108" s="143">
        <v>-916.62599999999998</v>
      </c>
    </row>
    <row r="109" spans="1:36" x14ac:dyDescent="0.25">
      <c r="A109" s="248" t="s">
        <v>73</v>
      </c>
      <c r="B109" s="16"/>
      <c r="C109" s="16"/>
      <c r="D109" s="16"/>
      <c r="E109" s="16"/>
      <c r="F109" s="16"/>
      <c r="G109" s="246">
        <f t="shared" ref="G109" si="54">-G108/G106</f>
        <v>1.4740498348237621</v>
      </c>
      <c r="H109" s="246">
        <f>-H108/H106</f>
        <v>4.5343671722667249</v>
      </c>
      <c r="I109" s="246">
        <f t="shared" ref="I109:N109" si="55">-I108/I106</f>
        <v>3.1218211355532204</v>
      </c>
      <c r="J109" s="246">
        <f t="shared" si="55"/>
        <v>0.53447609412505781</v>
      </c>
      <c r="K109" s="246">
        <f t="shared" si="55"/>
        <v>0.80277996328350376</v>
      </c>
      <c r="L109" s="246">
        <f t="shared" si="55"/>
        <v>-20.604368452263188</v>
      </c>
      <c r="M109" s="246">
        <f t="shared" si="55"/>
        <v>38.560003947628246</v>
      </c>
      <c r="N109" s="246">
        <f t="shared" si="55"/>
        <v>-109.67323692551007</v>
      </c>
      <c r="O109" s="246">
        <f t="shared" ref="O109" si="56">-O108/O106</f>
        <v>3.5084025112321084</v>
      </c>
      <c r="P109" s="246">
        <f t="shared" ref="P109" si="57">-P108/P106</f>
        <v>-0.97431224702340857</v>
      </c>
      <c r="Q109" s="246">
        <f t="shared" ref="Q109" si="58">-Q108/Q106</f>
        <v>-3.5100510348671925</v>
      </c>
      <c r="R109" s="246">
        <f t="shared" ref="R109" si="59">-R108/R106</f>
        <v>0.91513216502048589</v>
      </c>
      <c r="S109" s="16"/>
      <c r="T109" s="6"/>
      <c r="U109" s="6"/>
      <c r="V109" s="6"/>
      <c r="W109" s="6"/>
      <c r="X109" s="6"/>
      <c r="Y109" s="6"/>
      <c r="Z109" s="6"/>
      <c r="AA109" s="6"/>
      <c r="AB109" s="6"/>
      <c r="AC109" s="16"/>
      <c r="AD109" s="6"/>
      <c r="AE109" s="6"/>
      <c r="AJ109" s="139">
        <v>0.686190269789545</v>
      </c>
    </row>
    <row r="110" spans="1:36" x14ac:dyDescent="0.25">
      <c r="A110" s="248"/>
      <c r="B110" s="16"/>
      <c r="C110" s="16"/>
      <c r="D110" s="16"/>
      <c r="E110" s="16"/>
      <c r="F110" s="16"/>
      <c r="G110" s="16"/>
      <c r="H110" s="16"/>
      <c r="I110" s="16"/>
      <c r="J110" s="16"/>
      <c r="K110" s="16"/>
      <c r="L110" s="16"/>
      <c r="M110" s="16"/>
      <c r="N110" s="16"/>
      <c r="O110" s="16"/>
      <c r="P110" s="16"/>
      <c r="Q110" s="16"/>
      <c r="R110" s="16"/>
      <c r="S110" s="16"/>
      <c r="T110" s="6"/>
      <c r="U110" s="6"/>
      <c r="V110" s="6"/>
      <c r="W110" s="6"/>
      <c r="X110" s="6"/>
      <c r="Y110" s="6"/>
      <c r="Z110" s="6"/>
      <c r="AA110" s="6"/>
      <c r="AB110" s="6"/>
      <c r="AC110" s="16"/>
      <c r="AD110" s="6"/>
      <c r="AE110" s="6"/>
      <c r="AJ110" s="136"/>
    </row>
    <row r="111" spans="1:36" x14ac:dyDescent="0.25">
      <c r="A111" s="248" t="s">
        <v>566</v>
      </c>
      <c r="B111" s="16"/>
      <c r="C111" s="16"/>
      <c r="D111" s="16"/>
      <c r="E111" s="16"/>
      <c r="F111" s="16"/>
      <c r="G111" s="16"/>
      <c r="H111" s="255">
        <v>-397.67</v>
      </c>
      <c r="I111" s="255">
        <v>-214.917</v>
      </c>
      <c r="J111" s="247">
        <f>H111+I111</f>
        <v>-612.58699999999999</v>
      </c>
      <c r="K111" s="16"/>
      <c r="L111" s="255">
        <v>-189.98500000000001</v>
      </c>
      <c r="M111" s="255">
        <v>-252.441</v>
      </c>
      <c r="N111" s="247">
        <f>L111+M111</f>
        <v>-442.42600000000004</v>
      </c>
      <c r="O111" s="255">
        <v>-351.947</v>
      </c>
      <c r="P111" s="234">
        <f>Q111-O111</f>
        <v>-305.62699999999995</v>
      </c>
      <c r="Q111" s="234">
        <f>R111-N111</f>
        <v>-657.57399999999996</v>
      </c>
      <c r="R111" s="234">
        <f>Master!I317</f>
        <v>-1100</v>
      </c>
      <c r="S111" s="16"/>
      <c r="T111" s="6"/>
      <c r="U111" s="6"/>
      <c r="V111" s="6"/>
      <c r="W111" s="6"/>
      <c r="X111" s="6"/>
      <c r="Y111" s="6"/>
      <c r="Z111" s="6"/>
      <c r="AA111" s="6"/>
      <c r="AB111" s="6"/>
      <c r="AC111" s="16"/>
      <c r="AD111" s="6"/>
      <c r="AE111" s="6"/>
      <c r="AJ111" s="149">
        <v>-214.917</v>
      </c>
    </row>
    <row r="112" spans="1:36" x14ac:dyDescent="0.25">
      <c r="A112" s="248" t="s">
        <v>567</v>
      </c>
      <c r="B112" s="16"/>
      <c r="C112" s="16"/>
      <c r="D112" s="16"/>
      <c r="E112" s="16"/>
      <c r="F112" s="16"/>
      <c r="G112" s="16"/>
      <c r="H112" s="255">
        <v>326.75700000000001</v>
      </c>
      <c r="I112" s="255">
        <v>-81.924999999999997</v>
      </c>
      <c r="J112" s="247">
        <f t="shared" ref="J112:J114" si="60">H112+I112</f>
        <v>244.83199999999999</v>
      </c>
      <c r="K112" s="16"/>
      <c r="L112" s="255">
        <v>31.895</v>
      </c>
      <c r="M112" s="255">
        <v>52.537999999999997</v>
      </c>
      <c r="N112" s="247">
        <f t="shared" ref="N112:N114" si="61">L112+M112</f>
        <v>84.432999999999993</v>
      </c>
      <c r="O112" s="255">
        <v>88.99</v>
      </c>
      <c r="P112" s="234">
        <f>Q112-O112</f>
        <v>86.577000000000012</v>
      </c>
      <c r="Q112" s="234">
        <f>R112-N112</f>
        <v>175.56700000000001</v>
      </c>
      <c r="R112" s="234">
        <f>Master!I319</f>
        <v>260</v>
      </c>
      <c r="S112" s="16"/>
      <c r="T112" s="6"/>
      <c r="U112" s="6"/>
      <c r="V112" s="6"/>
      <c r="W112" s="6"/>
      <c r="X112" s="6"/>
      <c r="Y112" s="6"/>
      <c r="Z112" s="6"/>
      <c r="AA112" s="6"/>
      <c r="AB112" s="6"/>
      <c r="AC112" s="16"/>
      <c r="AD112" s="6"/>
      <c r="AE112" s="6"/>
      <c r="AJ112" s="149">
        <v>-81.924999999999997</v>
      </c>
    </row>
    <row r="113" spans="1:36" x14ac:dyDescent="0.25">
      <c r="A113" s="248" t="s">
        <v>244</v>
      </c>
      <c r="B113" s="234">
        <v>159</v>
      </c>
      <c r="C113" s="234">
        <f>D113-B113</f>
        <v>-1021</v>
      </c>
      <c r="D113" s="234">
        <f>Master!G321</f>
        <v>-862</v>
      </c>
      <c r="E113" s="234"/>
      <c r="F113" s="234"/>
      <c r="G113" s="235">
        <v>275</v>
      </c>
      <c r="H113" s="235">
        <v>922.07399999999996</v>
      </c>
      <c r="I113" s="235">
        <v>205.83099999999999</v>
      </c>
      <c r="J113" s="247">
        <f t="shared" si="60"/>
        <v>1127.905</v>
      </c>
      <c r="K113" s="234">
        <f>Master!H321</f>
        <v>-1127</v>
      </c>
      <c r="L113" s="235">
        <v>1353.664</v>
      </c>
      <c r="M113" s="235">
        <v>463.428</v>
      </c>
      <c r="N113" s="247">
        <f t="shared" si="61"/>
        <v>1817.0920000000001</v>
      </c>
      <c r="O113" s="235">
        <v>-1026.404</v>
      </c>
      <c r="P113" s="234">
        <f>Q113-O113</f>
        <v>9.3119999999998981</v>
      </c>
      <c r="Q113" s="234">
        <f>R113-N113</f>
        <v>-1017.0920000000001</v>
      </c>
      <c r="R113" s="234">
        <f>Master!I321</f>
        <v>800</v>
      </c>
      <c r="S113" s="16"/>
      <c r="T113" s="6"/>
      <c r="U113" s="6"/>
      <c r="V113" s="6"/>
      <c r="W113" s="6"/>
      <c r="X113" s="6"/>
      <c r="Y113" s="6"/>
      <c r="Z113" s="6"/>
      <c r="AA113" s="6"/>
      <c r="AB113" s="6"/>
      <c r="AC113" s="234"/>
      <c r="AD113" s="6"/>
      <c r="AE113" s="6"/>
      <c r="AJ113" s="143">
        <v>205.83099999999999</v>
      </c>
    </row>
    <row r="114" spans="1:36" x14ac:dyDescent="0.25">
      <c r="A114" s="248" t="s">
        <v>243</v>
      </c>
      <c r="B114" s="234">
        <v>61</v>
      </c>
      <c r="C114" s="234">
        <f>D114-B114</f>
        <v>-548</v>
      </c>
      <c r="D114" s="234">
        <f>Master!G323</f>
        <v>-487</v>
      </c>
      <c r="E114" s="234"/>
      <c r="F114" s="234"/>
      <c r="G114" s="235">
        <v>469</v>
      </c>
      <c r="H114" s="235">
        <v>-632.44100000000003</v>
      </c>
      <c r="I114" s="235">
        <v>-141.77199999999999</v>
      </c>
      <c r="J114" s="247">
        <f t="shared" si="60"/>
        <v>-774.21299999999997</v>
      </c>
      <c r="K114" s="234">
        <f>Master!H323</f>
        <v>1299</v>
      </c>
      <c r="L114" s="235">
        <v>-74.438999999999993</v>
      </c>
      <c r="M114" s="235">
        <v>-35.052</v>
      </c>
      <c r="N114" s="247">
        <f t="shared" si="61"/>
        <v>-109.49099999999999</v>
      </c>
      <c r="O114" s="235">
        <v>-39.387</v>
      </c>
      <c r="P114" s="234">
        <f>Q114-O114</f>
        <v>-41.122000000000014</v>
      </c>
      <c r="Q114" s="234">
        <f>R114-N114</f>
        <v>-80.509000000000015</v>
      </c>
      <c r="R114" s="234">
        <f>Master!I323</f>
        <v>-190</v>
      </c>
      <c r="S114" s="16"/>
      <c r="T114" s="6"/>
      <c r="U114" s="6"/>
      <c r="V114" s="6"/>
      <c r="W114" s="6"/>
      <c r="X114" s="6"/>
      <c r="Y114" s="6"/>
      <c r="Z114" s="6"/>
      <c r="AA114" s="6"/>
      <c r="AB114" s="6"/>
      <c r="AC114" s="234"/>
      <c r="AD114" s="6"/>
      <c r="AE114" s="6"/>
      <c r="AJ114" s="143">
        <v>-141.77199999999999</v>
      </c>
    </row>
    <row r="115" spans="1:36" x14ac:dyDescent="0.25">
      <c r="A115" s="6"/>
      <c r="B115" s="16"/>
      <c r="C115" s="16"/>
      <c r="D115" s="16"/>
      <c r="E115" s="16"/>
      <c r="F115" s="16"/>
      <c r="G115" s="16"/>
      <c r="H115" s="16"/>
      <c r="I115" s="16"/>
      <c r="J115" s="16"/>
      <c r="K115" s="16"/>
      <c r="L115" s="16"/>
      <c r="M115" s="16"/>
      <c r="N115" s="16"/>
      <c r="O115" s="16"/>
      <c r="P115" s="16"/>
      <c r="Q115" s="16"/>
      <c r="R115" s="16"/>
      <c r="S115" s="16"/>
      <c r="T115" s="6"/>
      <c r="U115" s="6"/>
      <c r="V115" s="6"/>
      <c r="W115" s="6"/>
      <c r="X115" s="6"/>
      <c r="Y115" s="6"/>
      <c r="Z115" s="6"/>
      <c r="AA115" s="6"/>
      <c r="AB115" s="6"/>
      <c r="AC115" s="16"/>
      <c r="AD115" s="6"/>
      <c r="AE115" s="6"/>
      <c r="AJ115" s="136"/>
    </row>
    <row r="116" spans="1:36" x14ac:dyDescent="0.25">
      <c r="A116" s="266" t="s">
        <v>44</v>
      </c>
      <c r="B116" s="265">
        <f>B106+B108+B113+B114</f>
        <v>-52</v>
      </c>
      <c r="C116" s="265">
        <f>D116-B116</f>
        <v>-1565</v>
      </c>
      <c r="D116" s="265">
        <f>Master!G325</f>
        <v>-1617</v>
      </c>
      <c r="E116" s="265"/>
      <c r="F116" s="265"/>
      <c r="G116" s="265">
        <f>G106+G108+G113+G114</f>
        <v>227.83699999999953</v>
      </c>
      <c r="H116" s="265">
        <f>H106+H108+H111+H112+H113+H114</f>
        <v>-749.22299999999984</v>
      </c>
      <c r="I116" s="265">
        <f>I106+I108+I111+I112+I113+I114</f>
        <v>-855.79000000000019</v>
      </c>
      <c r="J116" s="265">
        <f>K116-G116</f>
        <v>696.16300000000047</v>
      </c>
      <c r="K116" s="265">
        <f>Master!H325</f>
        <v>924</v>
      </c>
      <c r="L116" s="265">
        <f>L106+L108+L111+L112+L113+L114</f>
        <v>28.169999999999703</v>
      </c>
      <c r="M116" s="265">
        <f>M106+M108+M111+M112+M113+M114</f>
        <v>-913.27600000000007</v>
      </c>
      <c r="N116" s="265">
        <f>N106+N108+N113+N114</f>
        <v>-527.11300000000074</v>
      </c>
      <c r="O116" s="265">
        <f>O106+O108+O111+O112+O113+O114</f>
        <v>-2171.797</v>
      </c>
      <c r="P116" s="265">
        <f>Q116-O116</f>
        <v>-2087.4336375804355</v>
      </c>
      <c r="Q116" s="265">
        <f>Q106+Q108+Q111+Q112+Q113+Q114</f>
        <v>-4259.2306375804355</v>
      </c>
      <c r="R116" s="265">
        <f>Master!I325</f>
        <v>168.77484844360333</v>
      </c>
      <c r="S116" s="16"/>
      <c r="T116" s="6"/>
      <c r="U116" s="6"/>
      <c r="V116" s="6"/>
      <c r="W116" s="6"/>
      <c r="X116" s="6"/>
      <c r="Y116" s="6"/>
      <c r="Z116" s="6"/>
      <c r="AA116" s="6"/>
      <c r="AB116" s="6"/>
      <c r="AC116" s="232"/>
      <c r="AD116" s="6"/>
      <c r="AE116" s="6"/>
      <c r="AJ116" s="137">
        <v>186.40999999999974</v>
      </c>
    </row>
    <row r="117" spans="1:36" x14ac:dyDescent="0.25">
      <c r="A117" s="6"/>
      <c r="B117" s="16"/>
      <c r="C117" s="16"/>
      <c r="D117" s="16"/>
      <c r="E117" s="16"/>
      <c r="F117" s="16"/>
      <c r="G117" s="16"/>
      <c r="H117" s="16"/>
      <c r="I117" s="16"/>
      <c r="J117" s="16"/>
      <c r="K117" s="16"/>
      <c r="L117" s="16"/>
      <c r="M117" s="16"/>
      <c r="N117" s="16"/>
      <c r="O117" s="16"/>
      <c r="P117" s="16"/>
      <c r="Q117" s="16"/>
      <c r="R117" s="16"/>
      <c r="S117" s="16"/>
      <c r="T117" s="6"/>
      <c r="U117" s="6"/>
      <c r="V117" s="6"/>
      <c r="W117" s="6"/>
      <c r="X117" s="6"/>
      <c r="Y117" s="6"/>
      <c r="Z117" s="6"/>
      <c r="AA117" s="6"/>
      <c r="AB117" s="6"/>
      <c r="AC117" s="16"/>
      <c r="AD117" s="6"/>
      <c r="AE117" s="6"/>
      <c r="AJ117" s="136"/>
    </row>
    <row r="118" spans="1:36" x14ac:dyDescent="0.25">
      <c r="A118" s="248" t="s">
        <v>46</v>
      </c>
      <c r="B118" s="234">
        <v>17</v>
      </c>
      <c r="C118" s="234">
        <f>D118-B118</f>
        <v>500</v>
      </c>
      <c r="D118" s="234">
        <f>Master!G327</f>
        <v>517</v>
      </c>
      <c r="E118" s="234"/>
      <c r="F118" s="234"/>
      <c r="G118" s="235">
        <v>-364</v>
      </c>
      <c r="H118" s="235">
        <v>-217.417</v>
      </c>
      <c r="I118" s="235">
        <v>-604.82000000000005</v>
      </c>
      <c r="J118" s="234">
        <f>K118-G118</f>
        <v>-781</v>
      </c>
      <c r="K118" s="234">
        <f>Master!H327</f>
        <v>-1145</v>
      </c>
      <c r="L118" s="235">
        <v>-505.74099999999999</v>
      </c>
      <c r="M118" s="235">
        <v>-540.55100000000004</v>
      </c>
      <c r="N118" s="234">
        <f>L118+M118</f>
        <v>-1046.2919999999999</v>
      </c>
      <c r="O118" s="235">
        <v>-616.846</v>
      </c>
      <c r="P118" s="234">
        <f>Q118-O118</f>
        <v>-636.86200000000008</v>
      </c>
      <c r="Q118" s="234">
        <f>R118-N118</f>
        <v>-1253.7080000000001</v>
      </c>
      <c r="R118" s="234">
        <f>Master!I327</f>
        <v>-2300</v>
      </c>
      <c r="S118" s="16"/>
      <c r="T118" s="6"/>
      <c r="U118" s="6"/>
      <c r="V118" s="6"/>
      <c r="W118" s="6"/>
      <c r="X118" s="6"/>
      <c r="Y118" s="6"/>
      <c r="Z118" s="6"/>
      <c r="AA118" s="6"/>
      <c r="AB118" s="6"/>
      <c r="AC118" s="234"/>
      <c r="AD118" s="6"/>
      <c r="AE118" s="6"/>
      <c r="AJ118" s="143">
        <v>-604.82000000000005</v>
      </c>
    </row>
    <row r="119" spans="1:36" x14ac:dyDescent="0.25">
      <c r="A119" s="248" t="s">
        <v>45</v>
      </c>
      <c r="B119" s="220">
        <f>B118/B116</f>
        <v>-0.32692307692307693</v>
      </c>
      <c r="C119" s="220">
        <f t="shared" ref="C119:Q119" si="62">C118/C116</f>
        <v>-0.31948881789137379</v>
      </c>
      <c r="D119" s="220">
        <f t="shared" si="62"/>
        <v>-0.31972789115646261</v>
      </c>
      <c r="E119" s="220"/>
      <c r="F119" s="220"/>
      <c r="G119" s="220">
        <f t="shared" si="62"/>
        <v>-1.5976333958048989</v>
      </c>
      <c r="H119" s="220">
        <f>-H118/H116</f>
        <v>-0.29018997014240094</v>
      </c>
      <c r="I119" s="220">
        <f>-I118/I116</f>
        <v>-0.70673880274366363</v>
      </c>
      <c r="J119" s="220">
        <f t="shared" si="62"/>
        <v>-1.1218637014607205</v>
      </c>
      <c r="K119" s="220">
        <f t="shared" si="62"/>
        <v>-1.2391774891774892</v>
      </c>
      <c r="L119" s="220">
        <f>-L118/L116</f>
        <v>17.953177138800331</v>
      </c>
      <c r="M119" s="220">
        <f t="shared" ref="M119:P119" si="63">-M118/M116</f>
        <v>-0.59188131517744913</v>
      </c>
      <c r="N119" s="220">
        <f t="shared" si="63"/>
        <v>-1.9849481989630278</v>
      </c>
      <c r="O119" s="220">
        <f t="shared" si="63"/>
        <v>-0.28402562486272886</v>
      </c>
      <c r="P119" s="220">
        <f t="shared" si="63"/>
        <v>-0.30509329184624667</v>
      </c>
      <c r="Q119" s="220">
        <f t="shared" si="62"/>
        <v>0.29435081278251718</v>
      </c>
      <c r="R119" s="16">
        <f>R118/R116</f>
        <v>-13.627622961655643</v>
      </c>
      <c r="S119" s="16"/>
      <c r="T119" s="6"/>
      <c r="U119" s="6"/>
      <c r="V119" s="6"/>
      <c r="W119" s="6"/>
      <c r="X119" s="6"/>
      <c r="Y119" s="6"/>
      <c r="Z119" s="6"/>
      <c r="AA119" s="6"/>
      <c r="AB119" s="6"/>
      <c r="AC119" s="220"/>
      <c r="AD119" s="6"/>
      <c r="AE119" s="6"/>
      <c r="AJ119" s="140">
        <v>3.2445684244407538</v>
      </c>
    </row>
    <row r="120" spans="1:36" x14ac:dyDescent="0.25">
      <c r="A120" s="248" t="s">
        <v>568</v>
      </c>
      <c r="B120" s="220"/>
      <c r="C120" s="220"/>
      <c r="D120" s="220"/>
      <c r="E120" s="220"/>
      <c r="F120" s="220"/>
      <c r="G120" s="220"/>
      <c r="H120" s="235">
        <v>-169.80600000000001</v>
      </c>
      <c r="I120" s="235">
        <v>274.33800000000002</v>
      </c>
      <c r="J120" s="220"/>
      <c r="K120" s="220"/>
      <c r="L120" s="235">
        <v>201.46700000000001</v>
      </c>
      <c r="M120" s="235">
        <v>199.553</v>
      </c>
      <c r="N120" s="234">
        <f>L120+M120</f>
        <v>401.02</v>
      </c>
      <c r="O120" s="235">
        <v>296.75</v>
      </c>
      <c r="P120" s="234">
        <f>Q120-O120</f>
        <v>252.23000000000002</v>
      </c>
      <c r="Q120" s="234">
        <f>R120-N120</f>
        <v>548.98</v>
      </c>
      <c r="R120" s="234">
        <f>Master!I330</f>
        <v>950</v>
      </c>
      <c r="S120" s="16"/>
      <c r="T120" s="6"/>
      <c r="U120" s="6"/>
      <c r="V120" s="6"/>
      <c r="W120" s="6"/>
      <c r="X120" s="6"/>
      <c r="Y120" s="6"/>
      <c r="Z120" s="6"/>
      <c r="AA120" s="6"/>
      <c r="AB120" s="6"/>
      <c r="AC120" s="220"/>
      <c r="AD120" s="6"/>
      <c r="AE120" s="6"/>
      <c r="AJ120" s="143">
        <v>274.33800000000002</v>
      </c>
    </row>
    <row r="121" spans="1:36" x14ac:dyDescent="0.25">
      <c r="A121" s="248" t="s">
        <v>668</v>
      </c>
      <c r="B121" s="220"/>
      <c r="C121" s="220"/>
      <c r="D121" s="220"/>
      <c r="E121" s="220"/>
      <c r="F121" s="220"/>
      <c r="G121" s="220"/>
      <c r="H121" s="235"/>
      <c r="I121" s="235"/>
      <c r="J121" s="220"/>
      <c r="K121" s="220"/>
      <c r="L121" s="235">
        <v>50.701000000000001</v>
      </c>
      <c r="M121" s="235">
        <v>-13.755000000000001</v>
      </c>
      <c r="N121" s="234">
        <f>L121+M121</f>
        <v>36.945999999999998</v>
      </c>
      <c r="O121" s="235">
        <v>36.066000000000003</v>
      </c>
      <c r="P121" s="234">
        <f>Q121-O121</f>
        <v>26.988</v>
      </c>
      <c r="Q121" s="234">
        <f>R121-N121</f>
        <v>63.054000000000002</v>
      </c>
      <c r="R121" s="234">
        <f>Master!I332</f>
        <v>100</v>
      </c>
      <c r="S121" s="16"/>
      <c r="T121" s="6"/>
      <c r="U121" s="6"/>
      <c r="V121" s="6"/>
      <c r="W121" s="6"/>
      <c r="X121" s="6"/>
      <c r="Y121" s="6"/>
      <c r="Z121" s="6"/>
      <c r="AA121" s="6"/>
      <c r="AB121" s="6"/>
      <c r="AC121" s="220"/>
      <c r="AD121" s="6"/>
      <c r="AE121" s="6"/>
      <c r="AJ121" s="143"/>
    </row>
    <row r="122" spans="1:36" x14ac:dyDescent="0.25">
      <c r="A122" s="248"/>
      <c r="B122" s="16"/>
      <c r="C122" s="16"/>
      <c r="D122" s="16"/>
      <c r="E122" s="16"/>
      <c r="F122" s="16"/>
      <c r="G122" s="16"/>
      <c r="H122" s="16"/>
      <c r="I122" s="16"/>
      <c r="J122" s="16"/>
      <c r="K122" s="16"/>
      <c r="L122" s="16"/>
      <c r="M122" s="16"/>
      <c r="N122" s="16"/>
      <c r="O122" s="16"/>
      <c r="P122" s="16"/>
      <c r="Q122" s="16"/>
      <c r="R122" s="16"/>
      <c r="S122" s="16"/>
      <c r="T122" s="6"/>
      <c r="U122" s="6"/>
      <c r="V122" s="6"/>
      <c r="W122" s="6"/>
      <c r="X122" s="6"/>
      <c r="Y122" s="6"/>
      <c r="Z122" s="6"/>
      <c r="AA122" s="6"/>
      <c r="AB122" s="6"/>
      <c r="AC122" s="16"/>
      <c r="AD122" s="6"/>
      <c r="AE122" s="6"/>
      <c r="AJ122" s="136"/>
    </row>
    <row r="123" spans="1:36" x14ac:dyDescent="0.25">
      <c r="A123" s="267" t="s">
        <v>47</v>
      </c>
      <c r="B123" s="268">
        <f>B116+B118</f>
        <v>-35</v>
      </c>
      <c r="C123" s="268">
        <f>D123-B123</f>
        <v>-1065</v>
      </c>
      <c r="D123" s="268">
        <f>Master!G334</f>
        <v>-1100</v>
      </c>
      <c r="E123" s="268"/>
      <c r="F123" s="268"/>
      <c r="G123" s="268">
        <f>G116+G118</f>
        <v>-136.16300000000047</v>
      </c>
      <c r="H123" s="268">
        <f>H116+H118+H120</f>
        <v>-1136.4459999999999</v>
      </c>
      <c r="I123" s="268">
        <f>I116+I118+I120</f>
        <v>-1186.2720000000002</v>
      </c>
      <c r="J123" s="268">
        <f>K123-G123</f>
        <v>-84.836999999999534</v>
      </c>
      <c r="K123" s="268">
        <f>Master!H334</f>
        <v>-221</v>
      </c>
      <c r="L123" s="268">
        <f>L116+L118+L120+L121</f>
        <v>-225.40300000000028</v>
      </c>
      <c r="M123" s="268">
        <f>M116+M118+M120+M121</f>
        <v>-1268.0290000000005</v>
      </c>
      <c r="N123" s="268">
        <f>N116-N118</f>
        <v>519.17899999999918</v>
      </c>
      <c r="O123" s="268">
        <f>O116+O118+O120+O121</f>
        <v>-2455.8270000000002</v>
      </c>
      <c r="P123" s="268">
        <f>P116+P118+P120+P121</f>
        <v>-2445.0776375804357</v>
      </c>
      <c r="Q123" s="268">
        <f>Q116-Q118</f>
        <v>-3005.5226375804355</v>
      </c>
      <c r="R123" s="268">
        <f>R116-R118</f>
        <v>2468.7748484436033</v>
      </c>
      <c r="S123" s="16"/>
      <c r="T123" s="6"/>
      <c r="U123" s="6"/>
      <c r="V123" s="6"/>
      <c r="W123" s="6"/>
      <c r="X123" s="6"/>
      <c r="Y123" s="6"/>
      <c r="Z123" s="6"/>
      <c r="AA123" s="6"/>
      <c r="AB123" s="6"/>
      <c r="AC123" s="234"/>
      <c r="AD123" s="6"/>
      <c r="AE123" s="6"/>
      <c r="AJ123" s="138">
        <v>-144.07200000000029</v>
      </c>
    </row>
    <row r="124" spans="1:36" x14ac:dyDescent="0.25">
      <c r="A124" s="248"/>
      <c r="B124" s="16"/>
      <c r="C124" s="16"/>
      <c r="D124" s="16"/>
      <c r="E124" s="16"/>
      <c r="F124" s="16"/>
      <c r="G124" s="16"/>
      <c r="H124" s="16"/>
      <c r="I124" s="16"/>
      <c r="J124" s="16"/>
      <c r="K124" s="16"/>
      <c r="L124" s="16"/>
      <c r="M124" s="16"/>
      <c r="N124" s="16"/>
      <c r="O124" s="16"/>
      <c r="P124" s="16"/>
      <c r="Q124" s="16"/>
      <c r="R124" s="16"/>
      <c r="S124" s="16"/>
      <c r="T124" s="6"/>
      <c r="U124" s="6"/>
      <c r="V124" s="6"/>
      <c r="W124" s="6"/>
      <c r="X124" s="6"/>
      <c r="Y124" s="6"/>
      <c r="Z124" s="6"/>
      <c r="AA124" s="6"/>
      <c r="AB124" s="6"/>
      <c r="AC124" s="16"/>
      <c r="AD124" s="6"/>
      <c r="AE124" s="6"/>
      <c r="AJ124" s="136"/>
    </row>
    <row r="125" spans="1:36" x14ac:dyDescent="0.25">
      <c r="A125" s="6" t="s">
        <v>48</v>
      </c>
      <c r="B125" s="234">
        <v>0</v>
      </c>
      <c r="C125" s="234">
        <f>D125-B125</f>
        <v>-62.92</v>
      </c>
      <c r="D125" s="234">
        <f>Master!G336</f>
        <v>-62.92</v>
      </c>
      <c r="E125" s="234"/>
      <c r="F125" s="234"/>
      <c r="G125" s="234">
        <v>0</v>
      </c>
      <c r="H125" s="234"/>
      <c r="I125" s="234"/>
      <c r="J125" s="234">
        <f>K125-G125</f>
        <v>-12.6412</v>
      </c>
      <c r="K125" s="234">
        <f>Master!H336</f>
        <v>-12.6412</v>
      </c>
      <c r="L125" s="359">
        <v>-60</v>
      </c>
      <c r="M125" s="235">
        <v>-59.072000000000003</v>
      </c>
      <c r="N125" s="234">
        <f>L125+M125</f>
        <v>-119.072</v>
      </c>
      <c r="O125" s="235">
        <v>-64.099000000000004</v>
      </c>
      <c r="P125" s="234">
        <f>Q125-O125</f>
        <v>-56.828999999999994</v>
      </c>
      <c r="Q125" s="234">
        <f>R125-N125</f>
        <v>-120.928</v>
      </c>
      <c r="R125" s="234">
        <f>Master!I336</f>
        <v>-240</v>
      </c>
      <c r="S125" s="16"/>
      <c r="T125" s="6"/>
      <c r="U125" s="6"/>
      <c r="V125" s="6"/>
      <c r="W125" s="6"/>
      <c r="X125" s="6"/>
      <c r="Y125" s="6"/>
      <c r="Z125" s="6"/>
      <c r="AA125" s="6"/>
      <c r="AB125" s="6"/>
      <c r="AC125" s="234"/>
      <c r="AD125" s="6"/>
      <c r="AE125" s="6"/>
      <c r="AJ125" s="138"/>
    </row>
    <row r="126" spans="1:36" x14ac:dyDescent="0.25">
      <c r="A126" s="266" t="s">
        <v>49</v>
      </c>
      <c r="B126" s="265">
        <f>B123+B125</f>
        <v>-35</v>
      </c>
      <c r="C126" s="265">
        <f>D126-B126</f>
        <v>-1127.92</v>
      </c>
      <c r="D126" s="265">
        <f t="shared" ref="D126:R126" si="64">D123+D125</f>
        <v>-1162.92</v>
      </c>
      <c r="E126" s="265"/>
      <c r="F126" s="265"/>
      <c r="G126" s="265">
        <f t="shared" si="64"/>
        <v>-136.16300000000047</v>
      </c>
      <c r="H126" s="265">
        <f t="shared" ref="H126" si="65">H123+H125</f>
        <v>-1136.4459999999999</v>
      </c>
      <c r="I126" s="265">
        <f t="shared" si="64"/>
        <v>-1186.2720000000002</v>
      </c>
      <c r="J126" s="265">
        <f t="shared" si="64"/>
        <v>-97.478199999999532</v>
      </c>
      <c r="K126" s="265">
        <f t="shared" si="64"/>
        <v>-233.6412</v>
      </c>
      <c r="L126" s="265">
        <f t="shared" ref="L126:P126" si="66">L123+L125</f>
        <v>-285.40300000000025</v>
      </c>
      <c r="M126" s="265">
        <f t="shared" si="66"/>
        <v>-1327.1010000000006</v>
      </c>
      <c r="N126" s="265">
        <f t="shared" si="66"/>
        <v>400.10699999999918</v>
      </c>
      <c r="O126" s="265">
        <f t="shared" si="66"/>
        <v>-2519.9260000000004</v>
      </c>
      <c r="P126" s="265">
        <f t="shared" si="66"/>
        <v>-2501.9066375804359</v>
      </c>
      <c r="Q126" s="265">
        <f t="shared" si="64"/>
        <v>-3126.4506375804353</v>
      </c>
      <c r="R126" s="265">
        <f t="shared" si="64"/>
        <v>2228.7748484436033</v>
      </c>
      <c r="S126" s="16"/>
      <c r="T126" s="6"/>
      <c r="U126" s="6"/>
      <c r="V126" s="6"/>
      <c r="W126" s="6"/>
      <c r="X126" s="6"/>
      <c r="Y126" s="6"/>
      <c r="Z126" s="6"/>
      <c r="AA126" s="6"/>
      <c r="AB126" s="6"/>
      <c r="AC126" s="232"/>
      <c r="AD126" s="6"/>
      <c r="AE126" s="6"/>
      <c r="AJ126" s="137">
        <v>-144.07200000000029</v>
      </c>
    </row>
    <row r="127" spans="1:36" x14ac:dyDescent="0.25">
      <c r="A127" s="6"/>
      <c r="B127" s="16"/>
      <c r="C127" s="16"/>
      <c r="D127" s="16"/>
      <c r="E127" s="16"/>
      <c r="F127" s="16"/>
      <c r="G127" s="16"/>
      <c r="H127" s="16"/>
      <c r="I127" s="16"/>
      <c r="J127" s="16"/>
      <c r="K127" s="16"/>
      <c r="L127" s="16"/>
      <c r="M127" s="16"/>
      <c r="N127" s="16"/>
      <c r="O127" s="16"/>
      <c r="P127" s="16"/>
      <c r="Q127" s="16"/>
      <c r="R127" s="16"/>
      <c r="S127" s="16"/>
      <c r="T127" s="6"/>
      <c r="U127" s="6"/>
      <c r="V127" s="6"/>
      <c r="W127" s="6"/>
      <c r="X127" s="6"/>
      <c r="Y127" s="6"/>
      <c r="Z127" s="6"/>
      <c r="AA127" s="6"/>
      <c r="AB127" s="6"/>
      <c r="AC127" s="16"/>
      <c r="AD127" s="6"/>
      <c r="AE127" s="6"/>
      <c r="AJ127" s="136"/>
    </row>
    <row r="128" spans="1:36" x14ac:dyDescent="0.25">
      <c r="A128" s="6" t="s">
        <v>50</v>
      </c>
      <c r="B128" s="234"/>
      <c r="C128" s="234">
        <f>D128</f>
        <v>47502</v>
      </c>
      <c r="D128" s="234">
        <f>Master!G340</f>
        <v>47502</v>
      </c>
      <c r="E128" s="234"/>
      <c r="F128" s="234"/>
      <c r="G128" s="234"/>
      <c r="H128" s="234"/>
      <c r="I128" s="234"/>
      <c r="J128" s="234">
        <f>K128</f>
        <v>44370.883999999998</v>
      </c>
      <c r="K128" s="234">
        <f>Master!H340</f>
        <v>44370.883999999998</v>
      </c>
      <c r="L128" s="234"/>
      <c r="M128" s="234"/>
      <c r="N128" s="234"/>
      <c r="O128" s="234"/>
      <c r="P128" s="234"/>
      <c r="Q128" s="234">
        <f>R128</f>
        <v>52806.02637671087</v>
      </c>
      <c r="R128" s="234">
        <f>Master!I340</f>
        <v>52806.02637671087</v>
      </c>
      <c r="S128" s="16"/>
      <c r="T128" s="6"/>
      <c r="U128" s="6"/>
      <c r="V128" s="6"/>
      <c r="W128" s="6"/>
      <c r="X128" s="6"/>
      <c r="Y128" s="6"/>
      <c r="Z128" s="6"/>
      <c r="AA128" s="6"/>
      <c r="AB128" s="6"/>
      <c r="AC128" s="234"/>
      <c r="AD128" s="6"/>
      <c r="AE128" s="6"/>
      <c r="AJ128" s="138"/>
    </row>
    <row r="129" spans="1:36" x14ac:dyDescent="0.25">
      <c r="A129" s="6" t="s">
        <v>72</v>
      </c>
      <c r="B129" s="234"/>
      <c r="C129" s="234">
        <f>D129</f>
        <v>59712</v>
      </c>
      <c r="D129" s="234">
        <f>Master!G341</f>
        <v>59712</v>
      </c>
      <c r="E129" s="234"/>
      <c r="F129" s="234"/>
      <c r="G129" s="234"/>
      <c r="H129" s="234"/>
      <c r="I129" s="234"/>
      <c r="J129" s="234">
        <f>K129</f>
        <v>50308.883999999998</v>
      </c>
      <c r="K129" s="234">
        <f>Master!H341</f>
        <v>50308.883999999998</v>
      </c>
      <c r="L129" s="234"/>
      <c r="M129" s="234"/>
      <c r="N129" s="234"/>
      <c r="O129" s="234"/>
      <c r="P129" s="234"/>
      <c r="Q129" s="234">
        <f>R129</f>
        <v>55338.883999999998</v>
      </c>
      <c r="R129" s="234">
        <f>Master!I341</f>
        <v>55338.883999999998</v>
      </c>
      <c r="S129" s="16"/>
      <c r="T129" s="6"/>
      <c r="U129" s="6"/>
      <c r="V129" s="6"/>
      <c r="W129" s="6"/>
      <c r="X129" s="6"/>
      <c r="Y129" s="6"/>
      <c r="Z129" s="6"/>
      <c r="AA129" s="6"/>
      <c r="AB129" s="6"/>
      <c r="AC129" s="234"/>
      <c r="AD129" s="6"/>
      <c r="AE129" s="6"/>
      <c r="AJ129" s="138"/>
    </row>
    <row r="130" spans="1:36" x14ac:dyDescent="0.25">
      <c r="A130" s="6" t="s">
        <v>51</v>
      </c>
      <c r="B130" s="234"/>
      <c r="C130" s="234">
        <f>D130</f>
        <v>12210</v>
      </c>
      <c r="D130" s="234">
        <f>Master!G342</f>
        <v>12210</v>
      </c>
      <c r="E130" s="234"/>
      <c r="F130" s="234"/>
      <c r="G130" s="234"/>
      <c r="H130" s="234"/>
      <c r="I130" s="234"/>
      <c r="J130" s="234">
        <f>K130</f>
        <v>5938</v>
      </c>
      <c r="K130" s="234">
        <f>Master!H342</f>
        <v>5938</v>
      </c>
      <c r="L130" s="234"/>
      <c r="M130" s="234"/>
      <c r="N130" s="234"/>
      <c r="O130" s="234"/>
      <c r="P130" s="234"/>
      <c r="Q130" s="234">
        <f>R130</f>
        <v>2532.8576232891301</v>
      </c>
      <c r="R130" s="234">
        <f>Master!I342</f>
        <v>2532.8576232891301</v>
      </c>
      <c r="S130" s="16"/>
      <c r="T130" s="6"/>
      <c r="U130" s="6"/>
      <c r="V130" s="6"/>
      <c r="W130" s="6"/>
      <c r="X130" s="6"/>
      <c r="Y130" s="6"/>
      <c r="Z130" s="6"/>
      <c r="AA130" s="6"/>
      <c r="AB130" s="6"/>
      <c r="AC130" s="234"/>
      <c r="AD130" s="6"/>
      <c r="AE130" s="6"/>
      <c r="AJ130" s="138"/>
    </row>
    <row r="131" spans="1:36" x14ac:dyDescent="0.25">
      <c r="A131" s="6"/>
      <c r="B131" s="16"/>
      <c r="C131" s="16"/>
      <c r="D131" s="16"/>
      <c r="E131" s="16"/>
      <c r="F131" s="16"/>
      <c r="G131" s="16"/>
      <c r="H131" s="16"/>
      <c r="I131" s="16"/>
      <c r="J131" s="16"/>
      <c r="K131" s="16"/>
      <c r="L131" s="16"/>
      <c r="M131" s="16"/>
      <c r="N131" s="16"/>
      <c r="O131" s="16"/>
      <c r="P131" s="16"/>
      <c r="Q131" s="16"/>
      <c r="R131" s="16"/>
      <c r="S131" s="16"/>
      <c r="T131" s="6"/>
      <c r="U131" s="6"/>
      <c r="V131" s="6"/>
      <c r="W131" s="6"/>
      <c r="X131" s="6"/>
      <c r="Y131" s="6"/>
      <c r="Z131" s="6"/>
      <c r="AA131" s="6"/>
      <c r="AB131" s="6"/>
      <c r="AC131" s="16"/>
      <c r="AD131" s="6"/>
      <c r="AE131" s="6"/>
      <c r="AJ131" s="136"/>
    </row>
    <row r="132" spans="1:36" x14ac:dyDescent="0.25">
      <c r="A132" s="6"/>
      <c r="B132" s="16"/>
      <c r="C132" s="16"/>
      <c r="D132" s="16"/>
      <c r="E132" s="16"/>
      <c r="F132" s="16"/>
      <c r="G132" s="16"/>
      <c r="H132" s="16"/>
      <c r="I132" s="16"/>
      <c r="J132" s="16"/>
      <c r="K132" s="16"/>
      <c r="L132" s="16"/>
      <c r="M132" s="16"/>
      <c r="N132" s="16"/>
      <c r="O132" s="16"/>
      <c r="P132" s="16"/>
      <c r="Q132" s="16"/>
      <c r="R132" s="16"/>
      <c r="S132" s="16"/>
      <c r="T132" s="6"/>
      <c r="U132" s="6"/>
      <c r="V132" s="6"/>
      <c r="W132" s="6"/>
      <c r="X132" s="6"/>
      <c r="Y132" s="6"/>
      <c r="Z132" s="6"/>
      <c r="AA132" s="6"/>
      <c r="AB132" s="6"/>
      <c r="AC132" s="16"/>
      <c r="AD132" s="6"/>
      <c r="AE132" s="6"/>
      <c r="AJ132" s="136"/>
    </row>
    <row r="133" spans="1:36" x14ac:dyDescent="0.25">
      <c r="A133" s="6"/>
      <c r="B133" s="16"/>
      <c r="C133" s="16"/>
      <c r="D133" s="16"/>
      <c r="E133" s="16"/>
      <c r="F133" s="16"/>
      <c r="G133" s="16"/>
      <c r="H133" s="16"/>
      <c r="I133" s="16"/>
      <c r="J133" s="16"/>
      <c r="K133" s="16"/>
      <c r="L133" s="16"/>
      <c r="M133" s="16"/>
      <c r="N133" s="16"/>
      <c r="O133" s="16"/>
      <c r="P133" s="16"/>
      <c r="Q133" s="16"/>
      <c r="R133" s="16"/>
      <c r="S133" s="16"/>
      <c r="T133" s="6"/>
      <c r="U133" s="6"/>
      <c r="V133" s="6"/>
      <c r="W133" s="6"/>
      <c r="X133" s="6"/>
      <c r="Y133" s="6"/>
      <c r="Z133" s="6"/>
      <c r="AA133" s="6"/>
      <c r="AB133" s="6"/>
      <c r="AC133" s="16"/>
      <c r="AD133" s="6"/>
      <c r="AE133" s="6"/>
      <c r="AJ133" s="136"/>
    </row>
    <row r="134" spans="1:36" x14ac:dyDescent="0.25">
      <c r="A134" s="6"/>
      <c r="B134" s="16"/>
      <c r="C134" s="16"/>
      <c r="D134" s="16"/>
      <c r="E134" s="16"/>
      <c r="F134" s="16"/>
      <c r="G134" s="16"/>
      <c r="H134" s="16"/>
      <c r="I134" s="16"/>
      <c r="J134" s="16"/>
      <c r="K134" s="16"/>
      <c r="L134" s="16"/>
      <c r="M134" s="16"/>
      <c r="N134" s="16"/>
      <c r="O134" s="16"/>
      <c r="P134" s="16"/>
      <c r="Q134" s="16"/>
      <c r="R134" s="16"/>
      <c r="S134" s="16"/>
      <c r="T134" s="6"/>
      <c r="U134" s="6"/>
      <c r="V134" s="6"/>
      <c r="W134" s="6"/>
      <c r="X134" s="6"/>
      <c r="Y134" s="6"/>
      <c r="Z134" s="6"/>
      <c r="AA134" s="6"/>
      <c r="AB134" s="6"/>
      <c r="AC134" s="16"/>
      <c r="AD134" s="6"/>
      <c r="AE134" s="6"/>
      <c r="AJ134" s="136"/>
    </row>
    <row r="135" spans="1:36" x14ac:dyDescent="0.25">
      <c r="A135" s="6"/>
      <c r="B135" s="16"/>
      <c r="C135" s="16"/>
      <c r="D135" s="16"/>
      <c r="E135" s="16"/>
      <c r="F135" s="16"/>
      <c r="G135" s="16"/>
      <c r="H135" s="16"/>
      <c r="I135" s="16"/>
      <c r="J135" s="16"/>
      <c r="K135" s="16"/>
      <c r="L135" s="16"/>
      <c r="M135" s="16"/>
      <c r="N135" s="16"/>
      <c r="O135" s="16"/>
      <c r="P135" s="16"/>
      <c r="Q135" s="16"/>
      <c r="R135" s="16"/>
      <c r="S135" s="16"/>
      <c r="T135" s="6"/>
      <c r="U135" s="6"/>
      <c r="V135" s="6"/>
      <c r="W135" s="6"/>
      <c r="X135" s="6"/>
      <c r="Y135" s="6"/>
      <c r="Z135" s="6"/>
      <c r="AA135" s="6"/>
      <c r="AB135" s="6"/>
      <c r="AC135" s="16"/>
      <c r="AD135" s="6"/>
      <c r="AE135" s="6"/>
      <c r="AJ135" s="136"/>
    </row>
    <row r="136" spans="1:36" x14ac:dyDescent="0.25">
      <c r="A136" s="6" t="s">
        <v>59</v>
      </c>
      <c r="B136" s="234"/>
      <c r="C136" s="234">
        <f>D136-B136</f>
        <v>0</v>
      </c>
      <c r="D136" s="234">
        <f>Master!G346</f>
        <v>0</v>
      </c>
      <c r="E136" s="234"/>
      <c r="F136" s="234"/>
      <c r="G136" s="234"/>
      <c r="H136" s="234"/>
      <c r="I136" s="234"/>
      <c r="J136" s="234">
        <f>K136-G136</f>
        <v>766.46000000000015</v>
      </c>
      <c r="K136" s="234">
        <f>Master!H346</f>
        <v>766.46000000000015</v>
      </c>
      <c r="L136" s="234"/>
      <c r="M136" s="234"/>
      <c r="N136" s="234"/>
      <c r="O136" s="234"/>
      <c r="P136" s="234"/>
      <c r="Q136" s="234">
        <f>R136-N136</f>
        <v>1669.2840000000001</v>
      </c>
      <c r="R136" s="234">
        <f>Master!I346</f>
        <v>1669.2840000000001</v>
      </c>
      <c r="S136" s="16"/>
      <c r="T136" s="6"/>
      <c r="U136" s="6"/>
      <c r="V136" s="6"/>
      <c r="W136" s="6"/>
      <c r="X136" s="6"/>
      <c r="Y136" s="6"/>
      <c r="Z136" s="6"/>
      <c r="AA136" s="6"/>
      <c r="AB136" s="6"/>
      <c r="AC136" s="234"/>
      <c r="AD136" s="6"/>
      <c r="AE136" s="6"/>
      <c r="AJ136" s="138"/>
    </row>
    <row r="137" spans="1:36" x14ac:dyDescent="0.25">
      <c r="A137" s="233" t="s">
        <v>286</v>
      </c>
      <c r="B137" s="16"/>
      <c r="C137" s="16"/>
      <c r="D137" s="16"/>
      <c r="E137" s="16"/>
      <c r="F137" s="16"/>
      <c r="G137" s="16"/>
      <c r="H137" s="16"/>
      <c r="I137" s="16"/>
      <c r="J137" s="16"/>
      <c r="K137" s="16"/>
      <c r="L137" s="16"/>
      <c r="M137" s="16"/>
      <c r="N137" s="16"/>
      <c r="O137" s="16"/>
      <c r="P137" s="16"/>
      <c r="Q137" s="16"/>
      <c r="R137" s="16"/>
      <c r="S137" s="16"/>
      <c r="T137" s="6"/>
      <c r="U137" s="6"/>
      <c r="V137" s="6"/>
      <c r="W137" s="6"/>
      <c r="X137" s="6"/>
      <c r="Y137" s="6"/>
      <c r="Z137" s="6"/>
      <c r="AA137" s="6"/>
      <c r="AB137" s="6"/>
      <c r="AC137" s="16"/>
      <c r="AD137" s="6"/>
      <c r="AE137" s="6"/>
      <c r="AJ137" s="136"/>
    </row>
    <row r="138" spans="1:36" x14ac:dyDescent="0.25">
      <c r="A138" s="6"/>
      <c r="B138" s="16"/>
      <c r="C138" s="16"/>
      <c r="D138" s="16"/>
      <c r="E138" s="16"/>
      <c r="F138" s="16"/>
      <c r="G138" s="16"/>
      <c r="H138" s="16"/>
      <c r="I138" s="16"/>
      <c r="J138" s="16"/>
      <c r="K138" s="16"/>
      <c r="L138" s="16"/>
      <c r="M138" s="16"/>
      <c r="N138" s="16"/>
      <c r="O138" s="16"/>
      <c r="P138" s="16"/>
      <c r="Q138" s="16"/>
      <c r="R138" s="16"/>
      <c r="S138" s="16"/>
      <c r="T138" s="6"/>
      <c r="U138" s="6"/>
      <c r="V138" s="6"/>
      <c r="W138" s="6"/>
      <c r="X138" s="6"/>
      <c r="Y138" s="6"/>
      <c r="Z138" s="6"/>
      <c r="AA138" s="6"/>
      <c r="AB138" s="6"/>
      <c r="AC138" s="16"/>
      <c r="AD138" s="6"/>
      <c r="AE138" s="6"/>
      <c r="AJ138" s="136"/>
    </row>
    <row r="139" spans="1:36" x14ac:dyDescent="0.25">
      <c r="A139" s="6" t="s">
        <v>58</v>
      </c>
      <c r="B139" s="234"/>
      <c r="C139" s="234">
        <f>D139-B139</f>
        <v>0</v>
      </c>
      <c r="D139" s="234">
        <f>Master!G350</f>
        <v>0</v>
      </c>
      <c r="E139" s="234"/>
      <c r="F139" s="234"/>
      <c r="G139" s="234"/>
      <c r="H139" s="234"/>
      <c r="I139" s="234"/>
      <c r="J139" s="234">
        <f>K139-G139</f>
        <v>-64.515000000000001</v>
      </c>
      <c r="K139" s="234">
        <f>Master!H350</f>
        <v>-64.515000000000001</v>
      </c>
      <c r="L139" s="234"/>
      <c r="M139" s="234"/>
      <c r="N139" s="234"/>
      <c r="O139" s="234"/>
      <c r="P139" s="234"/>
      <c r="Q139" s="234">
        <f>R139-N139</f>
        <v>93.78</v>
      </c>
      <c r="R139" s="234">
        <f>Master!I350</f>
        <v>93.78</v>
      </c>
      <c r="S139" s="16"/>
      <c r="T139" s="6"/>
      <c r="U139" s="6"/>
      <c r="V139" s="6"/>
      <c r="W139" s="6"/>
      <c r="X139" s="6"/>
      <c r="Y139" s="6"/>
      <c r="Z139" s="6"/>
      <c r="AA139" s="6"/>
      <c r="AB139" s="6"/>
      <c r="AC139" s="234"/>
      <c r="AD139" s="6"/>
      <c r="AE139" s="6"/>
      <c r="AJ139" s="138"/>
    </row>
    <row r="140" spans="1:36" x14ac:dyDescent="0.25">
      <c r="A140" s="6" t="s">
        <v>52</v>
      </c>
      <c r="B140" s="234"/>
      <c r="C140" s="234">
        <f>D140-B140</f>
        <v>0</v>
      </c>
      <c r="D140" s="234">
        <f>Master!G351</f>
        <v>0</v>
      </c>
      <c r="E140" s="234"/>
      <c r="F140" s="234"/>
      <c r="G140" s="234"/>
      <c r="H140" s="234"/>
      <c r="I140" s="234"/>
      <c r="J140" s="234">
        <f>K140-G140</f>
        <v>-759</v>
      </c>
      <c r="K140" s="234">
        <f>Master!H351</f>
        <v>-759</v>
      </c>
      <c r="L140" s="234"/>
      <c r="M140" s="234"/>
      <c r="N140" s="234"/>
      <c r="O140" s="234"/>
      <c r="P140" s="234"/>
      <c r="Q140" s="234">
        <f>R140-N140</f>
        <v>1042</v>
      </c>
      <c r="R140" s="234">
        <f>Master!I351</f>
        <v>1042</v>
      </c>
      <c r="S140" s="16"/>
      <c r="T140" s="6"/>
      <c r="U140" s="6"/>
      <c r="V140" s="6"/>
      <c r="W140" s="6"/>
      <c r="X140" s="6"/>
      <c r="Y140" s="6"/>
      <c r="Z140" s="6"/>
      <c r="AA140" s="6"/>
      <c r="AB140" s="6"/>
      <c r="AC140" s="234"/>
      <c r="AD140" s="6"/>
      <c r="AE140" s="6"/>
      <c r="AJ140" s="138"/>
    </row>
    <row r="141" spans="1:36" x14ac:dyDescent="0.25">
      <c r="A141" s="6" t="s">
        <v>53</v>
      </c>
      <c r="B141" s="234"/>
      <c r="C141" s="234"/>
      <c r="D141" s="234">
        <f>Master!G352</f>
        <v>0</v>
      </c>
      <c r="E141" s="234"/>
      <c r="F141" s="234"/>
      <c r="G141" s="234"/>
      <c r="H141" s="234"/>
      <c r="I141" s="234"/>
      <c r="J141" s="234"/>
      <c r="K141" s="234">
        <f>Master!H352</f>
        <v>85</v>
      </c>
      <c r="L141" s="234"/>
      <c r="M141" s="234"/>
      <c r="N141" s="234"/>
      <c r="O141" s="234"/>
      <c r="P141" s="234"/>
      <c r="Q141" s="234"/>
      <c r="R141" s="234">
        <f>Master!I352</f>
        <v>90</v>
      </c>
      <c r="S141" s="16"/>
      <c r="T141" s="6"/>
      <c r="U141" s="6"/>
      <c r="V141" s="6"/>
      <c r="W141" s="6"/>
      <c r="X141" s="6"/>
      <c r="Y141" s="6"/>
      <c r="Z141" s="6"/>
      <c r="AA141" s="6"/>
      <c r="AB141" s="6"/>
      <c r="AC141" s="234"/>
      <c r="AD141" s="6"/>
      <c r="AE141" s="6"/>
      <c r="AJ141" s="138"/>
    </row>
    <row r="142" spans="1:36" x14ac:dyDescent="0.25">
      <c r="A142" s="6" t="s">
        <v>40</v>
      </c>
      <c r="B142" s="16"/>
      <c r="C142" s="16"/>
      <c r="D142" s="246">
        <f>Master!G353</f>
        <v>0</v>
      </c>
      <c r="E142" s="246"/>
      <c r="F142" s="246"/>
      <c r="G142" s="16"/>
      <c r="H142" s="16"/>
      <c r="I142" s="16"/>
      <c r="J142" s="16"/>
      <c r="K142" s="246">
        <f>Master!H353</f>
        <v>0</v>
      </c>
      <c r="L142" s="246"/>
      <c r="M142" s="246"/>
      <c r="N142" s="16"/>
      <c r="O142" s="16"/>
      <c r="P142" s="16"/>
      <c r="Q142" s="16"/>
      <c r="R142" s="246">
        <f>Master!I353</f>
        <v>-0.02</v>
      </c>
      <c r="S142" s="16"/>
      <c r="T142" s="6"/>
      <c r="U142" s="6"/>
      <c r="V142" s="6"/>
      <c r="W142" s="6"/>
      <c r="X142" s="6"/>
      <c r="Y142" s="6"/>
      <c r="Z142" s="6"/>
      <c r="AA142" s="6"/>
      <c r="AB142" s="6"/>
      <c r="AC142" s="16"/>
      <c r="AD142" s="6"/>
      <c r="AE142" s="6"/>
      <c r="AJ142" s="136"/>
    </row>
    <row r="143" spans="1:36" x14ac:dyDescent="0.25">
      <c r="A143" s="6"/>
      <c r="B143" s="16"/>
      <c r="C143" s="16"/>
      <c r="D143" s="16"/>
      <c r="E143" s="16"/>
      <c r="F143" s="16"/>
      <c r="G143" s="16"/>
      <c r="H143" s="16"/>
      <c r="I143" s="16"/>
      <c r="J143" s="16"/>
      <c r="K143" s="16"/>
      <c r="L143" s="16"/>
      <c r="M143" s="16"/>
      <c r="N143" s="16"/>
      <c r="O143" s="16"/>
      <c r="P143" s="16"/>
      <c r="Q143" s="16"/>
      <c r="R143" s="16"/>
      <c r="S143" s="16"/>
      <c r="T143" s="6"/>
      <c r="U143" s="6"/>
      <c r="V143" s="6"/>
      <c r="W143" s="6"/>
      <c r="X143" s="6"/>
      <c r="Y143" s="6"/>
      <c r="Z143" s="6"/>
      <c r="AA143" s="6"/>
      <c r="AB143" s="6"/>
      <c r="AC143" s="16"/>
      <c r="AD143" s="6"/>
      <c r="AE143" s="6"/>
      <c r="AJ143" s="136"/>
    </row>
    <row r="144" spans="1:36" x14ac:dyDescent="0.25">
      <c r="A144" s="6" t="s">
        <v>37</v>
      </c>
      <c r="B144" s="234">
        <f>B93-B136-B96+B108+B118</f>
        <v>540</v>
      </c>
      <c r="C144" s="234">
        <f>D144-B144</f>
        <v>1337</v>
      </c>
      <c r="D144" s="234">
        <f>Master!G359</f>
        <v>1877</v>
      </c>
      <c r="E144" s="234"/>
      <c r="F144" s="234"/>
      <c r="G144" s="234">
        <f ca="1">G93-G136-G96+G108+G118</f>
        <v>947</v>
      </c>
      <c r="H144" s="234"/>
      <c r="I144" s="234"/>
      <c r="J144" s="234">
        <f ca="1">K144-G144</f>
        <v>1366.5399999999991</v>
      </c>
      <c r="K144" s="234">
        <f>Master!H359</f>
        <v>2313.5399999999991</v>
      </c>
      <c r="L144" s="234"/>
      <c r="M144" s="234"/>
      <c r="N144" s="234">
        <f>N93-N136-N96+N108+N118</f>
        <v>8.4609999999997854</v>
      </c>
      <c r="O144" s="234"/>
      <c r="P144" s="234"/>
      <c r="Q144" s="234">
        <f>R144-N144</f>
        <v>-1413.6033767108697</v>
      </c>
      <c r="R144" s="234">
        <f>Master!I359</f>
        <v>-1405.1423767108699</v>
      </c>
      <c r="S144" s="16"/>
      <c r="T144" s="6"/>
      <c r="U144" s="6"/>
      <c r="V144" s="6"/>
      <c r="W144" s="6"/>
      <c r="X144" s="6"/>
      <c r="Y144" s="6"/>
      <c r="Z144" s="6"/>
      <c r="AA144" s="6"/>
      <c r="AB144" s="6"/>
      <c r="AC144" s="234"/>
      <c r="AD144" s="6"/>
      <c r="AE144" s="6"/>
      <c r="AJ144" s="138"/>
    </row>
    <row r="145" spans="1:36" x14ac:dyDescent="0.25">
      <c r="A145" s="6"/>
      <c r="B145" s="16"/>
      <c r="C145" s="16"/>
      <c r="D145" s="16"/>
      <c r="E145" s="16"/>
      <c r="F145" s="16"/>
      <c r="G145" s="16"/>
      <c r="H145" s="16"/>
      <c r="I145" s="16"/>
      <c r="J145" s="16"/>
      <c r="K145" s="16"/>
      <c r="L145" s="16"/>
      <c r="M145" s="16"/>
      <c r="N145" s="16"/>
      <c r="O145" s="16"/>
      <c r="P145" s="16"/>
      <c r="Q145" s="16"/>
      <c r="R145" s="16"/>
      <c r="S145" s="16"/>
      <c r="T145" s="6"/>
      <c r="U145" s="6"/>
      <c r="V145" s="6"/>
      <c r="W145" s="6"/>
      <c r="X145" s="6"/>
      <c r="Y145" s="6"/>
      <c r="Z145" s="6"/>
      <c r="AA145" s="6"/>
      <c r="AB145" s="6"/>
      <c r="AC145" s="16"/>
      <c r="AD145" s="6"/>
      <c r="AE145" s="6"/>
      <c r="AJ145" s="136"/>
    </row>
    <row r="146" spans="1:36" x14ac:dyDescent="0.25">
      <c r="A146" s="6"/>
      <c r="B146" s="16"/>
      <c r="C146" s="16"/>
      <c r="D146" s="16"/>
      <c r="E146" s="16"/>
      <c r="F146" s="16"/>
      <c r="G146" s="16"/>
      <c r="H146" s="16"/>
      <c r="I146" s="16"/>
      <c r="J146" s="16"/>
      <c r="K146" s="16"/>
      <c r="L146" s="16"/>
      <c r="M146" s="16"/>
      <c r="N146" s="16"/>
      <c r="O146" s="16"/>
      <c r="P146" s="16"/>
      <c r="Q146" s="16"/>
      <c r="R146" s="16"/>
      <c r="S146" s="16"/>
      <c r="T146" s="6"/>
      <c r="U146" s="6"/>
      <c r="V146" s="6"/>
      <c r="W146" s="6"/>
      <c r="X146" s="6"/>
      <c r="Y146" s="6"/>
      <c r="Z146" s="6"/>
      <c r="AA146" s="6"/>
      <c r="AB146" s="6"/>
      <c r="AC146" s="16"/>
      <c r="AD146" s="6"/>
      <c r="AE146" s="6"/>
      <c r="AJ146" s="136"/>
    </row>
    <row r="147" spans="1:36" x14ac:dyDescent="0.25">
      <c r="A147" s="6"/>
      <c r="B147" s="16"/>
      <c r="C147" s="16"/>
      <c r="D147" s="16"/>
      <c r="E147" s="16"/>
      <c r="F147" s="16"/>
      <c r="G147" s="16"/>
      <c r="H147" s="16"/>
      <c r="I147" s="16"/>
      <c r="J147" s="16"/>
      <c r="K147" s="16"/>
      <c r="L147" s="16"/>
      <c r="M147" s="16"/>
      <c r="N147" s="16"/>
      <c r="O147" s="16"/>
      <c r="P147" s="16"/>
      <c r="Q147" s="16"/>
      <c r="R147" s="16"/>
      <c r="S147" s="16"/>
      <c r="T147" s="6"/>
      <c r="U147" s="6"/>
      <c r="V147" s="6"/>
      <c r="W147" s="6"/>
      <c r="X147" s="6"/>
      <c r="Y147" s="6"/>
      <c r="Z147" s="6"/>
      <c r="AA147" s="6"/>
      <c r="AB147" s="6"/>
      <c r="AC147" s="16"/>
      <c r="AD147" s="6"/>
      <c r="AE147" s="6"/>
      <c r="AJ147" s="136"/>
    </row>
    <row r="148" spans="1:36" x14ac:dyDescent="0.25">
      <c r="A148" s="6" t="s">
        <v>298</v>
      </c>
      <c r="B148" s="256">
        <v>20.181164723557696</v>
      </c>
      <c r="C148" s="256">
        <v>20.394609090909093</v>
      </c>
      <c r="D148" s="256">
        <v>20.287886907233393</v>
      </c>
      <c r="E148" s="256"/>
      <c r="F148" s="256"/>
      <c r="G148" s="256">
        <v>20.265926105769221</v>
      </c>
      <c r="H148" s="240">
        <v>20.23</v>
      </c>
      <c r="I148" s="240">
        <v>19.698599999999999</v>
      </c>
      <c r="J148" s="256">
        <v>20.082099242424235</v>
      </c>
      <c r="K148" s="256">
        <v>20.17401267409673</v>
      </c>
      <c r="L148" s="240">
        <v>18.66</v>
      </c>
      <c r="M148" s="240">
        <v>17.71</v>
      </c>
      <c r="N148" s="256">
        <f>J148</f>
        <v>20.082099242424235</v>
      </c>
      <c r="O148" s="240">
        <v>17.82</v>
      </c>
      <c r="P148" s="256"/>
      <c r="Q148" s="256">
        <f>N148</f>
        <v>20.082099242424235</v>
      </c>
      <c r="R148" s="256">
        <f>Q148</f>
        <v>20.082099242424235</v>
      </c>
      <c r="S148" s="16"/>
      <c r="T148" s="6"/>
      <c r="U148" s="6"/>
      <c r="V148" s="6"/>
      <c r="W148" s="6"/>
      <c r="X148" s="6"/>
      <c r="Y148" s="6"/>
      <c r="Z148" s="6"/>
      <c r="AA148" s="6"/>
      <c r="AB148" s="6"/>
      <c r="AC148" s="256">
        <f>I148</f>
        <v>19.698599999999999</v>
      </c>
      <c r="AD148" s="6"/>
      <c r="AE148" s="6"/>
      <c r="AJ148" s="145">
        <v>19.698599999999999</v>
      </c>
    </row>
    <row r="149" spans="1:36" x14ac:dyDescent="0.25">
      <c r="A149" s="6"/>
      <c r="B149" s="16"/>
      <c r="C149" s="16"/>
      <c r="D149" s="16"/>
      <c r="E149" s="16"/>
      <c r="F149" s="16"/>
      <c r="G149" s="16"/>
      <c r="H149" s="16"/>
      <c r="I149" s="220">
        <f>I148/H148-1</f>
        <v>-2.6267918932278866E-2</v>
      </c>
      <c r="J149" s="16"/>
      <c r="K149" s="16"/>
      <c r="L149" s="16"/>
      <c r="M149" s="16"/>
      <c r="N149" s="16"/>
      <c r="O149" s="16"/>
      <c r="P149" s="16"/>
      <c r="Q149" s="16"/>
      <c r="R149" s="16"/>
      <c r="S149" s="16"/>
      <c r="T149" s="6"/>
      <c r="U149" s="6"/>
      <c r="V149" s="6"/>
      <c r="W149" s="6"/>
      <c r="X149" s="6"/>
      <c r="Y149" s="6"/>
      <c r="Z149" s="6"/>
      <c r="AA149" s="6"/>
      <c r="AB149" s="6"/>
      <c r="AC149" s="16"/>
      <c r="AD149" s="6"/>
      <c r="AE149" s="6"/>
      <c r="AJ149" s="140">
        <v>-2.6267918932278866E-2</v>
      </c>
    </row>
    <row r="150" spans="1:36" x14ac:dyDescent="0.25">
      <c r="A150" s="6"/>
      <c r="B150" s="16"/>
      <c r="C150" s="16"/>
      <c r="D150" s="16"/>
      <c r="E150" s="16"/>
      <c r="F150" s="16"/>
      <c r="G150" s="16"/>
      <c r="H150" s="16"/>
      <c r="I150" s="220"/>
      <c r="J150" s="16"/>
      <c r="K150" s="16"/>
      <c r="L150" s="16"/>
      <c r="M150" s="16"/>
      <c r="N150" s="16"/>
      <c r="O150" s="16"/>
      <c r="P150" s="16"/>
      <c r="Q150" s="16"/>
      <c r="R150" s="16"/>
      <c r="S150" s="16"/>
      <c r="T150" s="6"/>
      <c r="U150" s="6"/>
      <c r="V150" s="6"/>
      <c r="W150" s="6"/>
      <c r="X150" s="6"/>
      <c r="Y150" s="6"/>
      <c r="Z150" s="6"/>
      <c r="AA150" s="6"/>
      <c r="AB150" s="6"/>
      <c r="AC150" s="16"/>
      <c r="AD150" s="6"/>
      <c r="AE150" s="6"/>
      <c r="AJ150" s="140"/>
    </row>
    <row r="151" spans="1:36" x14ac:dyDescent="0.25">
      <c r="A151" s="20" t="s">
        <v>284</v>
      </c>
      <c r="B151" s="232">
        <f>B57/B$148</f>
        <v>290.36976211583851</v>
      </c>
      <c r="C151" s="232">
        <f>C57/C$148</f>
        <v>307.77741176701329</v>
      </c>
      <c r="D151" s="232">
        <f>D57/D$148</f>
        <v>598.23874489721766</v>
      </c>
      <c r="E151" s="232"/>
      <c r="F151" s="232"/>
      <c r="G151" s="232">
        <f>G57/G$148</f>
        <v>291.83936471160393</v>
      </c>
      <c r="H151" s="232">
        <f t="shared" ref="H151:I151" si="67">H57/H$148</f>
        <v>160.99851705388036</v>
      </c>
      <c r="I151" s="232">
        <f t="shared" si="67"/>
        <v>155.82858680312307</v>
      </c>
      <c r="J151" s="232">
        <f>J57/J$148</f>
        <v>315.03703490493638</v>
      </c>
      <c r="K151" s="232">
        <f>K57/K$148</f>
        <v>606.77071030679713</v>
      </c>
      <c r="L151" s="232">
        <f t="shared" ref="L151:O151" si="68">L57/L$148</f>
        <v>168.82545551982849</v>
      </c>
      <c r="M151" s="232">
        <f t="shared" si="68"/>
        <v>192.9983060417843</v>
      </c>
      <c r="N151" s="232">
        <f>N57/N$148</f>
        <v>327.09438991932035</v>
      </c>
      <c r="O151" s="232">
        <f t="shared" si="68"/>
        <v>191.97530864197532</v>
      </c>
      <c r="P151" s="232"/>
      <c r="Q151" s="232">
        <f>Q57/Q$148</f>
        <v>341.02175838394658</v>
      </c>
      <c r="R151" s="232">
        <f>R57/R$148</f>
        <v>668.11614830326687</v>
      </c>
      <c r="S151" s="16"/>
      <c r="T151" s="6"/>
      <c r="U151" s="21">
        <f>I151/AC151-1</f>
        <v>0</v>
      </c>
      <c r="V151" s="6"/>
      <c r="W151" s="6"/>
      <c r="X151" s="6"/>
      <c r="Y151" s="6"/>
      <c r="Z151" s="6"/>
      <c r="AA151" s="6"/>
      <c r="AB151" s="6"/>
      <c r="AC151" s="232">
        <f>AC57/AC$148</f>
        <v>155.82858680312305</v>
      </c>
      <c r="AD151" s="6"/>
      <c r="AE151" s="6"/>
      <c r="AJ151" s="137">
        <v>155.82858680312307</v>
      </c>
    </row>
    <row r="152" spans="1:36" x14ac:dyDescent="0.25">
      <c r="A152" s="6"/>
      <c r="B152" s="16"/>
      <c r="C152" s="16"/>
      <c r="D152" s="16"/>
      <c r="E152" s="16"/>
      <c r="F152" s="16"/>
      <c r="G152" s="16"/>
      <c r="H152" s="16"/>
      <c r="I152" s="246">
        <f>I151/H151-1</f>
        <v>-3.2111663792698808E-2</v>
      </c>
      <c r="J152" s="16"/>
      <c r="K152" s="16"/>
      <c r="L152" s="16"/>
      <c r="M152" s="16"/>
      <c r="N152" s="16"/>
      <c r="O152" s="16"/>
      <c r="P152" s="16"/>
      <c r="Q152" s="16"/>
      <c r="R152" s="16"/>
      <c r="S152" s="16"/>
      <c r="T152" s="6"/>
      <c r="U152" s="6"/>
      <c r="V152" s="6"/>
      <c r="W152" s="6"/>
      <c r="X152" s="6"/>
      <c r="Y152" s="6"/>
      <c r="Z152" s="6"/>
      <c r="AA152" s="6"/>
      <c r="AB152" s="6"/>
      <c r="AC152" s="16"/>
      <c r="AD152" s="6"/>
      <c r="AE152" s="6"/>
      <c r="AJ152" s="139">
        <v>-3.2111663792698808E-2</v>
      </c>
    </row>
    <row r="153" spans="1:36" x14ac:dyDescent="0.25">
      <c r="A153" s="6"/>
      <c r="B153" s="16"/>
      <c r="C153" s="16"/>
      <c r="D153" s="16"/>
      <c r="E153" s="16"/>
      <c r="F153" s="16"/>
      <c r="G153" s="16"/>
      <c r="H153" s="16"/>
      <c r="I153" s="246"/>
      <c r="J153" s="16"/>
      <c r="K153" s="16"/>
      <c r="L153" s="16"/>
      <c r="M153" s="16"/>
      <c r="N153" s="16"/>
      <c r="O153" s="16"/>
      <c r="P153" s="16"/>
      <c r="Q153" s="16"/>
      <c r="R153" s="16"/>
      <c r="S153" s="16"/>
      <c r="T153" s="6"/>
      <c r="U153" s="6"/>
      <c r="V153" s="6"/>
      <c r="W153" s="6"/>
      <c r="X153" s="6"/>
      <c r="Y153" s="6"/>
      <c r="Z153" s="6"/>
      <c r="AA153" s="6"/>
      <c r="AB153" s="6"/>
      <c r="AC153" s="16"/>
      <c r="AD153" s="6"/>
      <c r="AE153" s="6"/>
      <c r="AJ153" s="139"/>
    </row>
    <row r="154" spans="1:36" x14ac:dyDescent="0.25">
      <c r="A154" s="6"/>
      <c r="B154" s="16"/>
      <c r="C154" s="16"/>
      <c r="D154" s="16"/>
      <c r="E154" s="16"/>
      <c r="F154" s="16"/>
      <c r="G154" s="16"/>
      <c r="H154" s="234">
        <f>H151*1000000/AVERAGE(G4,H4)/3</f>
        <v>1842.5204659431602</v>
      </c>
      <c r="I154" s="234">
        <f>I151*1000000/AVERAGE(H4,I4)/3</f>
        <v>1764.063924866962</v>
      </c>
      <c r="J154" s="16"/>
      <c r="K154" s="16"/>
      <c r="L154" s="234">
        <f>L151*1000000/AVERAGE(K4,L4)/3</f>
        <v>1762.9231658895362</v>
      </c>
      <c r="M154" s="234">
        <f>M151*1000000/AVERAGE(L4,M4)/3</f>
        <v>1882.2859348292695</v>
      </c>
      <c r="N154" s="16"/>
      <c r="O154" s="234">
        <f>O151*1000000/AVERAGE(N4,O4)/3</f>
        <v>1857.2833605864287</v>
      </c>
      <c r="P154" s="16"/>
      <c r="Q154" s="16"/>
      <c r="R154" s="16"/>
      <c r="S154" s="16"/>
      <c r="T154" s="6"/>
      <c r="U154" s="6"/>
      <c r="V154" s="6"/>
      <c r="W154" s="6"/>
      <c r="X154" s="6"/>
      <c r="Y154" s="6"/>
      <c r="Z154" s="6"/>
      <c r="AA154" s="6"/>
      <c r="AB154" s="6"/>
      <c r="AC154" s="16"/>
      <c r="AD154" s="6"/>
      <c r="AE154" s="6"/>
      <c r="AJ154" s="138">
        <v>1764.063924866962</v>
      </c>
    </row>
    <row r="155" spans="1:36" x14ac:dyDescent="0.25">
      <c r="A155" s="6"/>
      <c r="B155" s="16"/>
      <c r="C155" s="16"/>
      <c r="D155" s="16"/>
      <c r="E155" s="16"/>
      <c r="F155" s="16"/>
      <c r="G155" s="16"/>
      <c r="H155" s="16"/>
      <c r="I155" s="246">
        <f>I154/H154-1</f>
        <v>-4.2581096126949824E-2</v>
      </c>
      <c r="J155" s="16"/>
      <c r="K155" s="16"/>
      <c r="L155" s="16"/>
      <c r="M155" s="16"/>
      <c r="N155" s="16"/>
      <c r="O155" s="16"/>
      <c r="P155" s="16"/>
      <c r="Q155" s="16"/>
      <c r="R155" s="16"/>
      <c r="S155" s="16"/>
      <c r="T155" s="6"/>
      <c r="U155" s="6"/>
      <c r="V155" s="6"/>
      <c r="W155" s="6"/>
      <c r="X155" s="6"/>
      <c r="Y155" s="6"/>
      <c r="Z155" s="6"/>
      <c r="AA155" s="6"/>
      <c r="AB155" s="6"/>
      <c r="AC155" s="16"/>
      <c r="AD155" s="6"/>
      <c r="AE155" s="6"/>
      <c r="AJ155" s="139">
        <v>-4.2581096126949824E-2</v>
      </c>
    </row>
    <row r="156" spans="1:36" x14ac:dyDescent="0.25">
      <c r="A156" s="6"/>
      <c r="B156" s="16"/>
      <c r="C156" s="16"/>
      <c r="D156" s="16"/>
      <c r="E156" s="16"/>
      <c r="F156" s="16"/>
      <c r="G156" s="16"/>
      <c r="H156" s="16"/>
      <c r="I156" s="246"/>
      <c r="J156" s="16"/>
      <c r="K156" s="16"/>
      <c r="L156" s="16"/>
      <c r="M156" s="16"/>
      <c r="N156" s="16"/>
      <c r="O156" s="16"/>
      <c r="P156" s="16"/>
      <c r="Q156" s="16"/>
      <c r="R156" s="16"/>
      <c r="S156" s="16"/>
      <c r="T156" s="6"/>
      <c r="U156" s="6"/>
      <c r="V156" s="6"/>
      <c r="W156" s="6"/>
      <c r="X156" s="6"/>
      <c r="Y156" s="6"/>
      <c r="Z156" s="6"/>
      <c r="AA156" s="6"/>
      <c r="AB156" s="6"/>
      <c r="AC156" s="16"/>
      <c r="AD156" s="6"/>
      <c r="AE156" s="6"/>
      <c r="AJ156" s="139"/>
    </row>
    <row r="157" spans="1:36" x14ac:dyDescent="0.25">
      <c r="A157" s="248" t="s">
        <v>55</v>
      </c>
      <c r="B157" s="16">
        <f>B78/B$148</f>
        <v>0</v>
      </c>
      <c r="C157" s="16">
        <f>C78/C$148</f>
        <v>0</v>
      </c>
      <c r="D157" s="234">
        <f>D78/D$148</f>
        <v>0</v>
      </c>
      <c r="E157" s="234"/>
      <c r="F157" s="234"/>
      <c r="G157" s="234">
        <f>G78/G$148</f>
        <v>0</v>
      </c>
      <c r="H157" s="234">
        <f t="shared" ref="H157:I157" si="69">H78/H$148</f>
        <v>1687.6661530096367</v>
      </c>
      <c r="I157" s="234">
        <f t="shared" si="69"/>
        <v>1595.3241522840278</v>
      </c>
      <c r="J157" s="234">
        <f t="shared" ref="J157:O157" si="70">J78/J$148</f>
        <v>0</v>
      </c>
      <c r="K157" s="234">
        <f t="shared" si="70"/>
        <v>0</v>
      </c>
      <c r="L157" s="234">
        <f t="shared" si="70"/>
        <v>1791.2337281350083</v>
      </c>
      <c r="M157" s="234">
        <f t="shared" si="70"/>
        <v>1865.7991366089886</v>
      </c>
      <c r="N157" s="234">
        <f t="shared" si="70"/>
        <v>0</v>
      </c>
      <c r="O157" s="234">
        <f t="shared" si="70"/>
        <v>1674.5540403956252</v>
      </c>
      <c r="P157" s="234"/>
      <c r="Q157" s="234">
        <f>Q78/Q$148</f>
        <v>0</v>
      </c>
      <c r="R157" s="234">
        <f>R78/R$148</f>
        <v>0</v>
      </c>
      <c r="S157" s="16"/>
      <c r="T157" s="6"/>
      <c r="U157" s="6"/>
      <c r="V157" s="6"/>
      <c r="W157" s="6"/>
      <c r="X157" s="6"/>
      <c r="Y157" s="6"/>
      <c r="Z157" s="6"/>
      <c r="AA157" s="6"/>
      <c r="AB157" s="6"/>
      <c r="AC157" s="16"/>
      <c r="AD157" s="6"/>
      <c r="AE157" s="6"/>
      <c r="AJ157" s="136">
        <v>996.38473744193982</v>
      </c>
    </row>
    <row r="158" spans="1:36" x14ac:dyDescent="0.25">
      <c r="A158" s="6"/>
      <c r="B158" s="16"/>
      <c r="C158" s="16"/>
      <c r="D158" s="16"/>
      <c r="E158" s="16"/>
      <c r="F158" s="16"/>
      <c r="G158" s="16"/>
      <c r="H158" s="16"/>
      <c r="I158" s="246">
        <f>I157/H157-1</f>
        <v>-5.4715798240626112E-2</v>
      </c>
      <c r="J158" s="16"/>
      <c r="K158" s="16"/>
      <c r="L158" s="16"/>
      <c r="M158" s="16"/>
      <c r="N158" s="16"/>
      <c r="O158" s="16"/>
      <c r="P158" s="16"/>
      <c r="Q158" s="16"/>
      <c r="R158" s="16"/>
      <c r="S158" s="16"/>
      <c r="T158" s="6"/>
      <c r="U158" s="6"/>
      <c r="V158" s="6"/>
      <c r="W158" s="6"/>
      <c r="X158" s="6"/>
      <c r="Y158" s="6"/>
      <c r="Z158" s="6"/>
      <c r="AA158" s="6"/>
      <c r="AB158" s="6"/>
      <c r="AC158" s="16"/>
      <c r="AD158" s="6"/>
      <c r="AE158" s="6"/>
      <c r="AJ158" s="139">
        <v>-5.7453223708695433E-2</v>
      </c>
    </row>
    <row r="159" spans="1:36" x14ac:dyDescent="0.25">
      <c r="A159" s="6"/>
      <c r="B159" s="16"/>
      <c r="C159" s="16"/>
      <c r="D159" s="16"/>
      <c r="E159" s="16"/>
      <c r="F159" s="16"/>
      <c r="G159" s="16"/>
      <c r="H159" s="16"/>
      <c r="I159" s="16"/>
      <c r="J159" s="16"/>
      <c r="K159" s="16"/>
      <c r="L159" s="16"/>
      <c r="M159" s="16"/>
      <c r="N159" s="16"/>
      <c r="O159" s="16"/>
      <c r="P159" s="16"/>
      <c r="Q159" s="16"/>
      <c r="R159" s="16"/>
      <c r="S159" s="16"/>
      <c r="T159" s="6"/>
      <c r="U159" s="6"/>
      <c r="V159" s="6"/>
      <c r="W159" s="6"/>
      <c r="X159" s="6"/>
      <c r="Y159" s="6"/>
      <c r="Z159" s="6"/>
      <c r="AA159" s="6"/>
      <c r="AB159" s="6"/>
      <c r="AC159" s="16"/>
      <c r="AD159" s="6"/>
      <c r="AE159" s="6"/>
      <c r="AJ159" s="136"/>
    </row>
    <row r="160" spans="1:36" x14ac:dyDescent="0.25">
      <c r="A160" s="6"/>
      <c r="B160" s="16"/>
      <c r="C160" s="16"/>
      <c r="D160" s="16"/>
      <c r="E160" s="16"/>
      <c r="F160" s="16"/>
      <c r="G160" s="16"/>
      <c r="H160" s="16"/>
      <c r="I160" s="16"/>
      <c r="J160" s="16"/>
      <c r="K160" s="16"/>
      <c r="L160" s="16"/>
      <c r="M160" s="16"/>
      <c r="N160" s="16"/>
      <c r="O160" s="16"/>
      <c r="P160" s="16"/>
      <c r="Q160" s="16"/>
      <c r="R160" s="16"/>
      <c r="S160" s="16"/>
      <c r="T160" s="6"/>
      <c r="U160" s="6"/>
      <c r="V160" s="6"/>
      <c r="W160" s="6"/>
      <c r="X160" s="6"/>
      <c r="Y160" s="6"/>
      <c r="Z160" s="6"/>
      <c r="AA160" s="6"/>
      <c r="AB160" s="6"/>
      <c r="AC160" s="16"/>
      <c r="AD160" s="6"/>
      <c r="AE160" s="6"/>
      <c r="AJ160" s="136"/>
    </row>
    <row r="161" spans="1:36" x14ac:dyDescent="0.25">
      <c r="A161" s="6"/>
      <c r="B161" s="16"/>
      <c r="C161" s="16"/>
      <c r="D161" s="16"/>
      <c r="E161" s="16"/>
      <c r="F161" s="16"/>
      <c r="G161" s="16"/>
      <c r="H161" s="16"/>
      <c r="I161" s="16"/>
      <c r="J161" s="16"/>
      <c r="K161" s="16"/>
      <c r="L161" s="16"/>
      <c r="M161" s="16"/>
      <c r="N161" s="16"/>
      <c r="O161" s="16"/>
      <c r="P161" s="16"/>
      <c r="Q161" s="16"/>
      <c r="R161" s="16"/>
      <c r="S161" s="16"/>
      <c r="T161" s="6"/>
      <c r="U161" s="6"/>
      <c r="V161" s="6"/>
      <c r="W161" s="6"/>
      <c r="X161" s="6"/>
      <c r="Y161" s="6"/>
      <c r="Z161" s="6"/>
      <c r="AA161" s="6"/>
      <c r="AB161" s="6"/>
      <c r="AC161" s="16"/>
      <c r="AD161" s="6"/>
      <c r="AE161" s="6"/>
      <c r="AJ161" s="136"/>
    </row>
    <row r="162" spans="1:36" x14ac:dyDescent="0.25">
      <c r="A162" s="228" t="s">
        <v>12</v>
      </c>
      <c r="B162" s="244"/>
      <c r="C162" s="229"/>
      <c r="D162" s="229"/>
      <c r="E162" s="229"/>
      <c r="F162" s="229"/>
      <c r="G162" s="229"/>
      <c r="H162" s="229"/>
      <c r="I162" s="229" t="str">
        <f>I$1</f>
        <v>Q4 22</v>
      </c>
      <c r="J162" s="244"/>
      <c r="K162" s="244"/>
      <c r="L162" s="229" t="str">
        <f>L$1</f>
        <v>Q1 23</v>
      </c>
      <c r="M162" s="229" t="str">
        <f>M$1</f>
        <v>Q2 23</v>
      </c>
      <c r="N162" s="229" t="str">
        <f>N$1</f>
        <v>H1 2023</v>
      </c>
      <c r="O162" s="229" t="str">
        <f>O$1</f>
        <v>Q3 23</v>
      </c>
      <c r="P162" s="244"/>
      <c r="Q162" s="244"/>
      <c r="R162" s="244"/>
      <c r="S162" s="16"/>
      <c r="T162" s="6"/>
      <c r="U162" s="6"/>
      <c r="V162" s="6"/>
      <c r="W162" s="6"/>
      <c r="X162" s="6"/>
      <c r="Y162" s="6"/>
      <c r="Z162" s="6"/>
      <c r="AA162" s="6"/>
      <c r="AB162" s="6"/>
      <c r="AC162" s="244"/>
      <c r="AD162" s="6"/>
      <c r="AE162" s="6"/>
      <c r="AJ162" s="135" t="s">
        <v>558</v>
      </c>
    </row>
    <row r="163" spans="1:36" x14ac:dyDescent="0.25">
      <c r="A163" s="6" t="s">
        <v>35</v>
      </c>
      <c r="B163" s="16"/>
      <c r="C163" s="16"/>
      <c r="D163" s="16"/>
      <c r="E163" s="16"/>
      <c r="F163" s="16"/>
      <c r="G163" s="16"/>
      <c r="H163" s="16"/>
      <c r="I163" s="234">
        <f>I164+I165</f>
        <v>1426.1999999999998</v>
      </c>
      <c r="J163" s="16"/>
      <c r="K163" s="16"/>
      <c r="L163" s="234">
        <f>L164+L165</f>
        <v>1394.3490000000002</v>
      </c>
      <c r="M163" s="234">
        <f>M164+M165</f>
        <v>1384.4059999999999</v>
      </c>
      <c r="N163" s="234">
        <f>L163+M163</f>
        <v>2778.7550000000001</v>
      </c>
      <c r="O163" s="234">
        <f>O164+O165</f>
        <v>1358.7910000000002</v>
      </c>
      <c r="P163" s="16"/>
      <c r="Q163" s="16"/>
      <c r="R163" s="16"/>
      <c r="S163" s="16"/>
      <c r="T163" s="6"/>
      <c r="U163" s="6"/>
      <c r="V163" s="6"/>
      <c r="W163" s="6"/>
      <c r="X163" s="6"/>
      <c r="Y163" s="6"/>
      <c r="Z163" s="6"/>
      <c r="AA163" s="6"/>
      <c r="AB163" s="6"/>
      <c r="AC163" s="16"/>
      <c r="AD163" s="6"/>
      <c r="AE163" s="6"/>
      <c r="AJ163" s="138">
        <v>1426.1999999999998</v>
      </c>
    </row>
    <row r="164" spans="1:36" x14ac:dyDescent="0.25">
      <c r="A164" s="233" t="s">
        <v>559</v>
      </c>
      <c r="B164" s="16"/>
      <c r="C164" s="16"/>
      <c r="D164" s="16"/>
      <c r="E164" s="16"/>
      <c r="F164" s="16"/>
      <c r="G164" s="16"/>
      <c r="H164" s="16"/>
      <c r="I164" s="235">
        <v>836.61199999999997</v>
      </c>
      <c r="J164" s="16"/>
      <c r="K164" s="16"/>
      <c r="L164" s="235">
        <v>815.51800000000003</v>
      </c>
      <c r="M164" s="235">
        <v>814.327</v>
      </c>
      <c r="N164" s="234">
        <f>L164+M164</f>
        <v>1629.845</v>
      </c>
      <c r="O164" s="235">
        <v>781.56500000000005</v>
      </c>
      <c r="P164" s="16"/>
      <c r="Q164" s="16"/>
      <c r="R164" s="16"/>
      <c r="S164" s="16"/>
      <c r="T164" s="6"/>
      <c r="U164" s="6"/>
      <c r="V164" s="6"/>
      <c r="W164" s="6"/>
      <c r="X164" s="6"/>
      <c r="Y164" s="6"/>
      <c r="Z164" s="6"/>
      <c r="AA164" s="6"/>
      <c r="AB164" s="6"/>
      <c r="AC164" s="16"/>
      <c r="AD164" s="6"/>
      <c r="AE164" s="6"/>
      <c r="AJ164" s="143">
        <v>836.61199999999997</v>
      </c>
    </row>
    <row r="165" spans="1:36" x14ac:dyDescent="0.25">
      <c r="A165" s="233" t="s">
        <v>571</v>
      </c>
      <c r="B165" s="16"/>
      <c r="C165" s="16"/>
      <c r="D165" s="16"/>
      <c r="E165" s="16"/>
      <c r="F165" s="16"/>
      <c r="G165" s="16"/>
      <c r="H165" s="16"/>
      <c r="I165" s="235">
        <v>589.58799999999997</v>
      </c>
      <c r="J165" s="16"/>
      <c r="K165" s="16"/>
      <c r="L165" s="235">
        <v>578.83100000000002</v>
      </c>
      <c r="M165" s="235">
        <v>570.07899999999995</v>
      </c>
      <c r="N165" s="234">
        <f>L165+M165</f>
        <v>1148.9099999999999</v>
      </c>
      <c r="O165" s="235">
        <v>577.226</v>
      </c>
      <c r="P165" s="16"/>
      <c r="Q165" s="16"/>
      <c r="R165" s="16"/>
      <c r="S165" s="16"/>
      <c r="T165" s="6"/>
      <c r="U165" s="6"/>
      <c r="V165" s="6"/>
      <c r="W165" s="6"/>
      <c r="X165" s="6"/>
      <c r="Y165" s="6"/>
      <c r="Z165" s="6"/>
      <c r="AA165" s="6"/>
      <c r="AB165" s="6"/>
      <c r="AC165" s="16"/>
      <c r="AD165" s="6"/>
      <c r="AE165" s="6"/>
      <c r="AJ165" s="143">
        <v>589.58799999999997</v>
      </c>
    </row>
    <row r="166" spans="1:36" x14ac:dyDescent="0.25">
      <c r="A166" s="233"/>
      <c r="B166" s="16"/>
      <c r="C166" s="16"/>
      <c r="D166" s="16"/>
      <c r="E166" s="16"/>
      <c r="F166" s="16"/>
      <c r="G166" s="16"/>
      <c r="H166" s="16"/>
      <c r="I166" s="234"/>
      <c r="J166" s="16"/>
      <c r="K166" s="16"/>
      <c r="L166" s="234"/>
      <c r="M166" s="234"/>
      <c r="N166" s="16"/>
      <c r="O166" s="234"/>
      <c r="P166" s="16"/>
      <c r="Q166" s="16"/>
      <c r="R166" s="16"/>
      <c r="S166" s="16"/>
      <c r="T166" s="6"/>
      <c r="U166" s="6"/>
      <c r="V166" s="6"/>
      <c r="W166" s="6"/>
      <c r="X166" s="6"/>
      <c r="Y166" s="6"/>
      <c r="Z166" s="6"/>
      <c r="AA166" s="6"/>
      <c r="AB166" s="6"/>
      <c r="AC166" s="16"/>
      <c r="AD166" s="6"/>
      <c r="AE166" s="6"/>
      <c r="AJ166" s="138"/>
    </row>
    <row r="167" spans="1:36" x14ac:dyDescent="0.25">
      <c r="A167" s="6" t="s">
        <v>572</v>
      </c>
      <c r="B167" s="16"/>
      <c r="C167" s="16"/>
      <c r="D167" s="16"/>
      <c r="E167" s="16"/>
      <c r="F167" s="16"/>
      <c r="G167" s="16"/>
      <c r="H167" s="16"/>
      <c r="I167" s="235">
        <v>69.039000000000001</v>
      </c>
      <c r="J167" s="16"/>
      <c r="K167" s="16"/>
      <c r="L167" s="235">
        <v>102.17</v>
      </c>
      <c r="M167" s="235">
        <v>81.682000000000002</v>
      </c>
      <c r="N167" s="234">
        <f>L167+M167</f>
        <v>183.852</v>
      </c>
      <c r="O167" s="235">
        <v>79.734999999999999</v>
      </c>
      <c r="P167" s="16"/>
      <c r="Q167" s="16"/>
      <c r="R167" s="16"/>
      <c r="S167" s="16"/>
      <c r="T167" s="6"/>
      <c r="U167" s="6"/>
      <c r="V167" s="6"/>
      <c r="W167" s="6"/>
      <c r="X167" s="6"/>
      <c r="Y167" s="6"/>
      <c r="Z167" s="6"/>
      <c r="AA167" s="6"/>
      <c r="AB167" s="6"/>
      <c r="AC167" s="16"/>
      <c r="AD167" s="6"/>
      <c r="AE167" s="6"/>
      <c r="AJ167" s="143">
        <v>69.039000000000001</v>
      </c>
    </row>
    <row r="168" spans="1:36" x14ac:dyDescent="0.25">
      <c r="A168" s="6"/>
      <c r="B168" s="16"/>
      <c r="C168" s="16"/>
      <c r="D168" s="16"/>
      <c r="E168" s="16"/>
      <c r="F168" s="16"/>
      <c r="G168" s="16"/>
      <c r="H168" s="16"/>
      <c r="I168" s="16"/>
      <c r="J168" s="16"/>
      <c r="K168" s="16"/>
      <c r="L168" s="16"/>
      <c r="M168" s="16"/>
      <c r="N168" s="16"/>
      <c r="O168" s="16"/>
      <c r="P168" s="16"/>
      <c r="Q168" s="16"/>
      <c r="R168" s="16"/>
      <c r="S168" s="16"/>
      <c r="T168" s="6"/>
      <c r="U168" s="6"/>
      <c r="V168" s="6"/>
      <c r="W168" s="6"/>
      <c r="X168" s="6"/>
      <c r="Y168" s="6"/>
      <c r="Z168" s="6"/>
      <c r="AA168" s="6"/>
      <c r="AB168" s="6"/>
      <c r="AC168" s="16"/>
      <c r="AD168" s="6"/>
      <c r="AE168" s="6"/>
      <c r="AJ168" s="136"/>
    </row>
    <row r="169" spans="1:36" x14ac:dyDescent="0.25">
      <c r="A169" s="6" t="s">
        <v>245</v>
      </c>
      <c r="B169" s="16"/>
      <c r="C169" s="16"/>
      <c r="D169" s="16"/>
      <c r="E169" s="16"/>
      <c r="F169" s="16"/>
      <c r="G169" s="16"/>
      <c r="H169" s="16"/>
      <c r="I169" s="235">
        <v>767.57399999999996</v>
      </c>
      <c r="J169" s="16"/>
      <c r="K169" s="16"/>
      <c r="L169" s="235">
        <v>713.34799999999996</v>
      </c>
      <c r="M169" s="235">
        <v>732.64599999999996</v>
      </c>
      <c r="N169" s="234">
        <f>L169+M169</f>
        <v>1445.9939999999999</v>
      </c>
      <c r="O169" s="235">
        <v>701.83</v>
      </c>
      <c r="P169" s="16"/>
      <c r="Q169" s="16"/>
      <c r="R169" s="16"/>
      <c r="S169" s="16"/>
      <c r="T169" s="6"/>
      <c r="U169" s="6"/>
      <c r="V169" s="12">
        <f>I163+I177+I191+I205</f>
        <v>3055.2269999999999</v>
      </c>
      <c r="W169" s="12">
        <f>I57</f>
        <v>3069.605</v>
      </c>
      <c r="X169" s="12">
        <f>V169-W169</f>
        <v>-14.378000000000156</v>
      </c>
      <c r="Y169" s="6"/>
      <c r="Z169" s="6"/>
      <c r="AA169" s="6"/>
      <c r="AB169" s="6"/>
      <c r="AC169" s="16"/>
      <c r="AD169" s="6"/>
      <c r="AE169" s="6"/>
      <c r="AJ169" s="143">
        <v>767.57399999999996</v>
      </c>
    </row>
    <row r="170" spans="1:36" x14ac:dyDescent="0.25">
      <c r="A170" s="6" t="s">
        <v>573</v>
      </c>
      <c r="B170" s="16"/>
      <c r="C170" s="16"/>
      <c r="D170" s="16"/>
      <c r="E170" s="16"/>
      <c r="F170" s="16"/>
      <c r="G170" s="16"/>
      <c r="H170" s="16"/>
      <c r="I170" s="246">
        <f>I169/I164</f>
        <v>0.91747907034563214</v>
      </c>
      <c r="J170" s="16"/>
      <c r="K170" s="16"/>
      <c r="L170" s="246">
        <f>L169/L164</f>
        <v>0.87471766411041807</v>
      </c>
      <c r="M170" s="246">
        <f>M169/M164</f>
        <v>0.89969508563513179</v>
      </c>
      <c r="N170" s="246">
        <f>N169/N164</f>
        <v>0.88719724881813911</v>
      </c>
      <c r="O170" s="246">
        <f>O169/O164</f>
        <v>0.89798033432919844</v>
      </c>
      <c r="P170" s="16"/>
      <c r="Q170" s="16"/>
      <c r="R170" s="16"/>
      <c r="S170" s="16"/>
      <c r="T170" s="6"/>
      <c r="U170" s="6"/>
      <c r="V170" s="12">
        <f>I164+I178+I192+I206</f>
        <v>1841.3119999999999</v>
      </c>
      <c r="W170" s="12">
        <f>I61</f>
        <v>1902.086</v>
      </c>
      <c r="X170" s="12">
        <f t="shared" ref="X170:X171" si="71">V170-W170</f>
        <v>-60.774000000000115</v>
      </c>
      <c r="Y170" s="6"/>
      <c r="Z170" s="6"/>
      <c r="AA170" s="6"/>
      <c r="AB170" s="6"/>
      <c r="AC170" s="16"/>
      <c r="AD170" s="6"/>
      <c r="AE170" s="6"/>
      <c r="AJ170" s="139">
        <v>0.91747907034563214</v>
      </c>
    </row>
    <row r="171" spans="1:36" x14ac:dyDescent="0.25">
      <c r="A171" s="6" t="s">
        <v>574</v>
      </c>
      <c r="B171" s="16"/>
      <c r="C171" s="16"/>
      <c r="D171" s="16"/>
      <c r="E171" s="16"/>
      <c r="F171" s="16"/>
      <c r="G171" s="16"/>
      <c r="H171" s="16"/>
      <c r="I171" s="246">
        <f>I169/I163</f>
        <v>0.53819520403870424</v>
      </c>
      <c r="J171" s="16"/>
      <c r="K171" s="16"/>
      <c r="L171" s="246">
        <f>L169/L163</f>
        <v>0.51159931982595452</v>
      </c>
      <c r="M171" s="246">
        <f>M169/M163</f>
        <v>0.52921325102607186</v>
      </c>
      <c r="N171" s="246">
        <f>N169/N163</f>
        <v>0.52037477215515582</v>
      </c>
      <c r="O171" s="246">
        <f>O169/O163</f>
        <v>0.51651063334979397</v>
      </c>
      <c r="P171" s="16"/>
      <c r="Q171" s="16"/>
      <c r="R171" s="16"/>
      <c r="S171" s="16"/>
      <c r="T171" s="6"/>
      <c r="U171" s="6"/>
      <c r="V171" s="12">
        <f>I165+I179+I193+I207</f>
        <v>1213.915</v>
      </c>
      <c r="W171" s="12">
        <f>I64</f>
        <v>1167.519</v>
      </c>
      <c r="X171" s="12">
        <f t="shared" si="71"/>
        <v>46.395999999999958</v>
      </c>
      <c r="Y171" s="6"/>
      <c r="Z171" s="6"/>
      <c r="AA171" s="6"/>
      <c r="AB171" s="6"/>
      <c r="AC171" s="16"/>
      <c r="AD171" s="6"/>
      <c r="AE171" s="6"/>
      <c r="AJ171" s="139">
        <v>0.53819520403870424</v>
      </c>
    </row>
    <row r="172" spans="1:36" x14ac:dyDescent="0.25">
      <c r="A172" s="6"/>
      <c r="B172" s="16"/>
      <c r="C172" s="16"/>
      <c r="D172" s="16"/>
      <c r="E172" s="16"/>
      <c r="F172" s="16"/>
      <c r="G172" s="16"/>
      <c r="H172" s="16"/>
      <c r="I172" s="16"/>
      <c r="J172" s="16"/>
      <c r="K172" s="16"/>
      <c r="L172" s="16"/>
      <c r="M172" s="16"/>
      <c r="N172" s="16"/>
      <c r="O172" s="16"/>
      <c r="P172" s="16"/>
      <c r="Q172" s="16"/>
      <c r="R172" s="16"/>
      <c r="S172" s="16"/>
      <c r="T172" s="6"/>
      <c r="U172" s="6"/>
      <c r="V172" s="6"/>
      <c r="W172" s="6"/>
      <c r="X172" s="6"/>
      <c r="Y172" s="6"/>
      <c r="Z172" s="6"/>
      <c r="AA172" s="6"/>
      <c r="AB172" s="6"/>
      <c r="AC172" s="16"/>
      <c r="AD172" s="6"/>
      <c r="AE172" s="6"/>
      <c r="AJ172" s="136"/>
    </row>
    <row r="173" spans="1:36" x14ac:dyDescent="0.25">
      <c r="A173" s="6"/>
      <c r="B173" s="16"/>
      <c r="C173" s="16"/>
      <c r="D173" s="16"/>
      <c r="E173" s="16"/>
      <c r="F173" s="16"/>
      <c r="G173" s="16"/>
      <c r="H173" s="16"/>
      <c r="I173" s="234">
        <f>I164*1000000/AVERAGE(H5,I5)/3</f>
        <v>24812.765073998278</v>
      </c>
      <c r="J173" s="16"/>
      <c r="K173" s="16"/>
      <c r="L173" s="234">
        <f>L164*1000000/AVERAGE(I5,L5)/3</f>
        <v>24166.718525433022</v>
      </c>
      <c r="M173" s="234">
        <f>M164*1000000/AVERAGE(J5,M5)/3</f>
        <v>24122.846774790785</v>
      </c>
      <c r="N173" s="234">
        <f>N164*1000000/AVERAGE(K5,N5)/6</f>
        <v>24140.487299118715</v>
      </c>
      <c r="O173" s="234">
        <f>O164*1000000/AVERAGE(L5,O5)/3</f>
        <v>23095.892434988182</v>
      </c>
      <c r="P173" s="16"/>
      <c r="Q173" s="16"/>
      <c r="R173" s="16"/>
      <c r="S173" s="16"/>
      <c r="T173" s="6"/>
      <c r="U173" s="6"/>
      <c r="V173" s="6"/>
      <c r="W173" s="6"/>
      <c r="X173" s="6"/>
      <c r="Y173" s="6"/>
      <c r="Z173" s="6"/>
      <c r="AA173" s="6"/>
      <c r="AB173" s="6"/>
      <c r="AC173" s="16"/>
      <c r="AD173" s="6"/>
      <c r="AE173" s="6"/>
      <c r="AJ173" s="136"/>
    </row>
    <row r="174" spans="1:36" x14ac:dyDescent="0.25">
      <c r="A174" s="6"/>
      <c r="B174" s="16"/>
      <c r="C174" s="16"/>
      <c r="D174" s="16"/>
      <c r="E174" s="16"/>
      <c r="F174" s="16"/>
      <c r="G174" s="16"/>
      <c r="H174" s="16"/>
      <c r="I174" s="16"/>
      <c r="J174" s="16"/>
      <c r="K174" s="16"/>
      <c r="L174" s="246">
        <f>L173/I173-1</f>
        <v>-2.6036862342369904E-2</v>
      </c>
      <c r="M174" s="246">
        <f>M173/L173-1</f>
        <v>-1.8153788896108081E-3</v>
      </c>
      <c r="N174" s="246"/>
      <c r="O174" s="246">
        <f>O173/M173-1</f>
        <v>-4.2571855195623343E-2</v>
      </c>
      <c r="P174" s="16"/>
      <c r="Q174" s="16"/>
      <c r="R174" s="16"/>
      <c r="S174" s="16"/>
      <c r="T174" s="6"/>
      <c r="U174" s="6"/>
      <c r="V174" s="6"/>
      <c r="W174" s="6"/>
      <c r="X174" s="6"/>
      <c r="Y174" s="6"/>
      <c r="Z174" s="6"/>
      <c r="AA174" s="6"/>
      <c r="AB174" s="6"/>
      <c r="AC174" s="16"/>
      <c r="AD174" s="6"/>
      <c r="AE174" s="6"/>
      <c r="AJ174" s="136"/>
    </row>
    <row r="175" spans="1:36" x14ac:dyDescent="0.25">
      <c r="A175" s="6"/>
      <c r="B175" s="16"/>
      <c r="C175" s="16"/>
      <c r="D175" s="16"/>
      <c r="E175" s="16"/>
      <c r="F175" s="16"/>
      <c r="G175" s="16"/>
      <c r="H175" s="16"/>
      <c r="I175" s="16"/>
      <c r="J175" s="16"/>
      <c r="K175" s="16"/>
      <c r="L175" s="16"/>
      <c r="M175" s="16"/>
      <c r="N175" s="16"/>
      <c r="O175" s="16"/>
      <c r="P175" s="16"/>
      <c r="Q175" s="16"/>
      <c r="R175" s="16"/>
      <c r="S175" s="16"/>
      <c r="T175" s="6"/>
      <c r="U175" s="6"/>
      <c r="V175" s="6"/>
      <c r="W175" s="6"/>
      <c r="X175" s="6"/>
      <c r="Y175" s="6"/>
      <c r="Z175" s="6"/>
      <c r="AA175" s="6"/>
      <c r="AB175" s="6"/>
      <c r="AC175" s="16"/>
      <c r="AD175" s="6"/>
      <c r="AE175" s="6"/>
      <c r="AJ175" s="136"/>
    </row>
    <row r="176" spans="1:36" x14ac:dyDescent="0.25">
      <c r="A176" s="228" t="s">
        <v>561</v>
      </c>
      <c r="B176" s="244"/>
      <c r="C176" s="229"/>
      <c r="D176" s="229"/>
      <c r="E176" s="229"/>
      <c r="F176" s="229"/>
      <c r="G176" s="229"/>
      <c r="H176" s="229"/>
      <c r="I176" s="229" t="str">
        <f>I$1</f>
        <v>Q4 22</v>
      </c>
      <c r="J176" s="244"/>
      <c r="K176" s="244"/>
      <c r="L176" s="229" t="str">
        <f>L$1</f>
        <v>Q1 23</v>
      </c>
      <c r="M176" s="229" t="str">
        <f>M$1</f>
        <v>Q2 23</v>
      </c>
      <c r="N176" s="229" t="str">
        <f>N$1</f>
        <v>H1 2023</v>
      </c>
      <c r="O176" s="229" t="str">
        <f>O$1</f>
        <v>Q3 23</v>
      </c>
      <c r="P176" s="244"/>
      <c r="Q176" s="244"/>
      <c r="R176" s="244"/>
      <c r="S176" s="16"/>
      <c r="T176" s="6"/>
      <c r="U176" s="6"/>
      <c r="V176" s="6"/>
      <c r="W176" s="6"/>
      <c r="X176" s="6"/>
      <c r="Y176" s="6"/>
      <c r="Z176" s="6"/>
      <c r="AA176" s="6"/>
      <c r="AB176" s="6"/>
      <c r="AC176" s="244"/>
      <c r="AD176" s="6"/>
      <c r="AE176" s="6"/>
      <c r="AJ176" s="135" t="s">
        <v>558</v>
      </c>
    </row>
    <row r="177" spans="1:36" x14ac:dyDescent="0.25">
      <c r="A177" s="6" t="s">
        <v>35</v>
      </c>
      <c r="B177" s="16"/>
      <c r="C177" s="16"/>
      <c r="D177" s="16"/>
      <c r="E177" s="16"/>
      <c r="F177" s="16"/>
      <c r="G177" s="16"/>
      <c r="H177" s="16"/>
      <c r="I177" s="234">
        <f>I178+I179</f>
        <v>355.95599999999996</v>
      </c>
      <c r="J177" s="16"/>
      <c r="K177" s="16"/>
      <c r="L177" s="234">
        <f>L178+L179</f>
        <v>382.86099999999999</v>
      </c>
      <c r="M177" s="234">
        <f>M178+M179</f>
        <v>389.60300000000001</v>
      </c>
      <c r="N177" s="234">
        <f>L177+M177</f>
        <v>772.46399999999994</v>
      </c>
      <c r="O177" s="234">
        <f>O178+O179</f>
        <v>458.09300000000002</v>
      </c>
      <c r="P177" s="16"/>
      <c r="Q177" s="16"/>
      <c r="R177" s="16"/>
      <c r="S177" s="16"/>
      <c r="T177" s="6"/>
      <c r="U177" s="6"/>
      <c r="V177" s="6"/>
      <c r="W177" s="6"/>
      <c r="X177" s="6"/>
      <c r="Y177" s="6"/>
      <c r="Z177" s="6"/>
      <c r="AA177" s="6"/>
      <c r="AB177" s="6"/>
      <c r="AC177" s="16"/>
      <c r="AD177" s="6"/>
      <c r="AE177" s="6"/>
      <c r="AJ177" s="138">
        <v>355.95599999999996</v>
      </c>
    </row>
    <row r="178" spans="1:36" x14ac:dyDescent="0.25">
      <c r="A178" s="233" t="s">
        <v>559</v>
      </c>
      <c r="B178" s="16"/>
      <c r="C178" s="16"/>
      <c r="D178" s="16"/>
      <c r="E178" s="16"/>
      <c r="F178" s="16"/>
      <c r="G178" s="16"/>
      <c r="H178" s="16"/>
      <c r="I178" s="235">
        <v>291.79199999999997</v>
      </c>
      <c r="J178" s="16"/>
      <c r="K178" s="16"/>
      <c r="L178" s="235">
        <v>315.73700000000002</v>
      </c>
      <c r="M178" s="235">
        <v>315.45</v>
      </c>
      <c r="N178" s="234">
        <f>L178+M178</f>
        <v>631.18700000000001</v>
      </c>
      <c r="O178" s="235">
        <v>341.23200000000003</v>
      </c>
      <c r="P178" s="16"/>
      <c r="Q178" s="16"/>
      <c r="R178" s="16"/>
      <c r="S178" s="16"/>
      <c r="T178" s="6"/>
      <c r="U178" s="6"/>
      <c r="V178" s="6"/>
      <c r="W178" s="6"/>
      <c r="X178" s="6"/>
      <c r="Y178" s="6"/>
      <c r="Z178" s="6"/>
      <c r="AA178" s="6"/>
      <c r="AB178" s="6"/>
      <c r="AC178" s="16"/>
      <c r="AD178" s="6"/>
      <c r="AE178" s="6"/>
      <c r="AJ178" s="143">
        <v>291.79199999999997</v>
      </c>
    </row>
    <row r="179" spans="1:36" x14ac:dyDescent="0.25">
      <c r="A179" s="233" t="s">
        <v>571</v>
      </c>
      <c r="B179" s="16"/>
      <c r="C179" s="16"/>
      <c r="D179" s="16"/>
      <c r="E179" s="16"/>
      <c r="F179" s="16"/>
      <c r="G179" s="16"/>
      <c r="H179" s="16"/>
      <c r="I179" s="235">
        <v>64.164000000000001</v>
      </c>
      <c r="J179" s="16"/>
      <c r="K179" s="16"/>
      <c r="L179" s="235">
        <v>67.123999999999995</v>
      </c>
      <c r="M179" s="235">
        <v>74.153000000000006</v>
      </c>
      <c r="N179" s="234">
        <f>L179+M179</f>
        <v>141.27699999999999</v>
      </c>
      <c r="O179" s="235">
        <v>116.861</v>
      </c>
      <c r="P179" s="16"/>
      <c r="Q179" s="16"/>
      <c r="R179" s="16"/>
      <c r="S179" s="16"/>
      <c r="T179" s="6"/>
      <c r="U179" s="6"/>
      <c r="V179" s="6"/>
      <c r="W179" s="6"/>
      <c r="X179" s="6"/>
      <c r="Y179" s="6"/>
      <c r="Z179" s="6"/>
      <c r="AA179" s="6"/>
      <c r="AB179" s="6"/>
      <c r="AC179" s="16"/>
      <c r="AD179" s="6"/>
      <c r="AE179" s="6"/>
      <c r="AJ179" s="143">
        <v>64.164000000000001</v>
      </c>
    </row>
    <row r="180" spans="1:36" x14ac:dyDescent="0.25">
      <c r="A180" s="233"/>
      <c r="B180" s="16"/>
      <c r="C180" s="16"/>
      <c r="D180" s="16"/>
      <c r="E180" s="16"/>
      <c r="F180" s="16"/>
      <c r="G180" s="16"/>
      <c r="H180" s="16"/>
      <c r="I180" s="234"/>
      <c r="J180" s="16"/>
      <c r="K180" s="16"/>
      <c r="L180" s="234"/>
      <c r="M180" s="234"/>
      <c r="N180" s="16"/>
      <c r="O180" s="234"/>
      <c r="P180" s="16"/>
      <c r="Q180" s="16"/>
      <c r="R180" s="16"/>
      <c r="S180" s="16"/>
      <c r="T180" s="6"/>
      <c r="U180" s="6"/>
      <c r="V180" s="6"/>
      <c r="W180" s="6"/>
      <c r="X180" s="6"/>
      <c r="Y180" s="6"/>
      <c r="Z180" s="6"/>
      <c r="AA180" s="6"/>
      <c r="AB180" s="6"/>
      <c r="AC180" s="16"/>
      <c r="AD180" s="6"/>
      <c r="AE180" s="6"/>
      <c r="AJ180" s="138"/>
    </row>
    <row r="181" spans="1:36" x14ac:dyDescent="0.25">
      <c r="A181" s="6" t="s">
        <v>572</v>
      </c>
      <c r="B181" s="16"/>
      <c r="C181" s="16"/>
      <c r="D181" s="16"/>
      <c r="E181" s="16"/>
      <c r="F181" s="16"/>
      <c r="G181" s="16"/>
      <c r="H181" s="16"/>
      <c r="I181" s="235">
        <v>76.341999999999999</v>
      </c>
      <c r="J181" s="16"/>
      <c r="K181" s="16"/>
      <c r="L181" s="235">
        <v>60.222999999999999</v>
      </c>
      <c r="M181" s="235">
        <v>56.615000000000002</v>
      </c>
      <c r="N181" s="234">
        <f>L181+M181</f>
        <v>116.83799999999999</v>
      </c>
      <c r="O181" s="235">
        <v>80.153999999999996</v>
      </c>
      <c r="P181" s="16"/>
      <c r="Q181" s="16"/>
      <c r="R181" s="16"/>
      <c r="S181" s="16"/>
      <c r="T181" s="6"/>
      <c r="U181" s="6"/>
      <c r="V181" s="6"/>
      <c r="W181" s="6"/>
      <c r="X181" s="6"/>
      <c r="Y181" s="6"/>
      <c r="Z181" s="6"/>
      <c r="AA181" s="6"/>
      <c r="AB181" s="6"/>
      <c r="AC181" s="16"/>
      <c r="AD181" s="6"/>
      <c r="AE181" s="6"/>
      <c r="AJ181" s="143">
        <v>76.341999999999999</v>
      </c>
    </row>
    <row r="182" spans="1:36" x14ac:dyDescent="0.25">
      <c r="A182" s="6"/>
      <c r="B182" s="16"/>
      <c r="C182" s="16"/>
      <c r="D182" s="16"/>
      <c r="E182" s="16"/>
      <c r="F182" s="16"/>
      <c r="G182" s="16"/>
      <c r="H182" s="16"/>
      <c r="I182" s="16"/>
      <c r="J182" s="16"/>
      <c r="K182" s="16"/>
      <c r="L182" s="16"/>
      <c r="M182" s="16"/>
      <c r="N182" s="16"/>
      <c r="O182" s="16"/>
      <c r="P182" s="16"/>
      <c r="Q182" s="16"/>
      <c r="R182" s="16"/>
      <c r="S182" s="16"/>
      <c r="T182" s="6"/>
      <c r="U182" s="6"/>
      <c r="V182" s="6"/>
      <c r="W182" s="6"/>
      <c r="X182" s="6"/>
      <c r="Y182" s="6"/>
      <c r="Z182" s="6"/>
      <c r="AA182" s="6"/>
      <c r="AB182" s="6"/>
      <c r="AC182" s="16"/>
      <c r="AD182" s="6"/>
      <c r="AE182" s="6"/>
      <c r="AJ182" s="136"/>
    </row>
    <row r="183" spans="1:36" x14ac:dyDescent="0.25">
      <c r="A183" s="6" t="s">
        <v>245</v>
      </c>
      <c r="B183" s="16"/>
      <c r="C183" s="16"/>
      <c r="D183" s="16"/>
      <c r="E183" s="16"/>
      <c r="F183" s="16"/>
      <c r="G183" s="16"/>
      <c r="H183" s="16"/>
      <c r="I183" s="235">
        <v>215.45</v>
      </c>
      <c r="J183" s="16"/>
      <c r="K183" s="16"/>
      <c r="L183" s="235">
        <v>255.51400000000001</v>
      </c>
      <c r="M183" s="235">
        <v>258.83499999999998</v>
      </c>
      <c r="N183" s="234">
        <f>L183+M183</f>
        <v>514.34899999999993</v>
      </c>
      <c r="O183" s="235">
        <v>261.07799999999997</v>
      </c>
      <c r="P183" s="16"/>
      <c r="Q183" s="16"/>
      <c r="R183" s="16"/>
      <c r="S183" s="16"/>
      <c r="T183" s="6"/>
      <c r="U183" s="6"/>
      <c r="V183" s="6"/>
      <c r="W183" s="6"/>
      <c r="X183" s="6"/>
      <c r="Y183" s="6"/>
      <c r="Z183" s="6"/>
      <c r="AA183" s="6"/>
      <c r="AB183" s="6"/>
      <c r="AC183" s="16"/>
      <c r="AD183" s="6"/>
      <c r="AE183" s="6"/>
      <c r="AJ183" s="143">
        <v>215.45</v>
      </c>
    </row>
    <row r="184" spans="1:36" x14ac:dyDescent="0.25">
      <c r="A184" s="6" t="s">
        <v>573</v>
      </c>
      <c r="B184" s="16"/>
      <c r="C184" s="16"/>
      <c r="D184" s="16"/>
      <c r="E184" s="16"/>
      <c r="F184" s="16"/>
      <c r="G184" s="16"/>
      <c r="H184" s="16"/>
      <c r="I184" s="246">
        <f>I183/I178</f>
        <v>0.73836842682458736</v>
      </c>
      <c r="J184" s="16"/>
      <c r="K184" s="16"/>
      <c r="L184" s="246">
        <f>L183/L178</f>
        <v>0.80926213905877353</v>
      </c>
      <c r="M184" s="246">
        <f>M183/M178</f>
        <v>0.82052623236646061</v>
      </c>
      <c r="N184" s="246">
        <f>N183/N178</f>
        <v>0.81489162482750743</v>
      </c>
      <c r="O184" s="246">
        <f>O183/O178</f>
        <v>0.76510409340272878</v>
      </c>
      <c r="P184" s="16"/>
      <c r="Q184" s="16"/>
      <c r="R184" s="16"/>
      <c r="S184" s="16"/>
      <c r="T184" s="6"/>
      <c r="U184" s="6"/>
      <c r="V184" s="6"/>
      <c r="W184" s="6"/>
      <c r="X184" s="6"/>
      <c r="Y184" s="6"/>
      <c r="Z184" s="6"/>
      <c r="AA184" s="6"/>
      <c r="AB184" s="6"/>
      <c r="AC184" s="16"/>
      <c r="AD184" s="6"/>
      <c r="AE184" s="6"/>
      <c r="AJ184" s="139">
        <v>0.73836842682458736</v>
      </c>
    </row>
    <row r="185" spans="1:36" x14ac:dyDescent="0.25">
      <c r="A185" s="6" t="s">
        <v>574</v>
      </c>
      <c r="B185" s="16"/>
      <c r="C185" s="16"/>
      <c r="D185" s="16"/>
      <c r="E185" s="16"/>
      <c r="F185" s="16"/>
      <c r="G185" s="16"/>
      <c r="H185" s="16"/>
      <c r="I185" s="246">
        <f>I183/I177</f>
        <v>0.60527143804290418</v>
      </c>
      <c r="J185" s="16"/>
      <c r="K185" s="16"/>
      <c r="L185" s="246">
        <f>L183/L177</f>
        <v>0.66738058982241599</v>
      </c>
      <c r="M185" s="246">
        <f>M183/M177</f>
        <v>0.66435576728105272</v>
      </c>
      <c r="N185" s="246">
        <f>N183/N177</f>
        <v>0.66585497835497831</v>
      </c>
      <c r="O185" s="246">
        <f>O183/O177</f>
        <v>0.56992357447068598</v>
      </c>
      <c r="P185" s="16"/>
      <c r="Q185" s="16"/>
      <c r="R185" s="16"/>
      <c r="S185" s="6"/>
      <c r="T185" s="6"/>
      <c r="U185" s="6"/>
      <c r="V185" s="6"/>
      <c r="W185" s="6"/>
      <c r="X185" s="6"/>
      <c r="Y185" s="6"/>
      <c r="Z185" s="6"/>
      <c r="AA185" s="6"/>
      <c r="AB185" s="6"/>
      <c r="AC185" s="16"/>
      <c r="AD185" s="6"/>
      <c r="AE185" s="6"/>
      <c r="AJ185" s="139">
        <v>0.60527143804290418</v>
      </c>
    </row>
    <row r="186" spans="1:36" x14ac:dyDescent="0.25">
      <c r="A186" s="6"/>
      <c r="B186" s="6"/>
      <c r="C186" s="6"/>
      <c r="D186" s="6"/>
      <c r="E186" s="6"/>
      <c r="F186" s="6"/>
      <c r="G186" s="6"/>
      <c r="H186" s="6"/>
      <c r="I186" s="6"/>
      <c r="J186" s="6"/>
      <c r="K186" s="6"/>
      <c r="L186" s="6"/>
      <c r="M186" s="6"/>
      <c r="N186" s="16"/>
      <c r="O186" s="6"/>
      <c r="P186" s="6"/>
      <c r="Q186" s="6"/>
      <c r="R186" s="6"/>
      <c r="S186" s="6"/>
      <c r="T186" s="6"/>
      <c r="U186" s="6"/>
      <c r="V186" s="6"/>
      <c r="W186" s="6"/>
      <c r="X186" s="6"/>
      <c r="Y186" s="6"/>
      <c r="Z186" s="6"/>
      <c r="AA186" s="6"/>
      <c r="AB186" s="6"/>
      <c r="AC186" s="6"/>
      <c r="AD186" s="6"/>
      <c r="AE186" s="6"/>
      <c r="AJ186" s="10"/>
    </row>
    <row r="187" spans="1:36" x14ac:dyDescent="0.25">
      <c r="A187" s="6"/>
      <c r="B187" s="6"/>
      <c r="C187" s="6"/>
      <c r="D187" s="6"/>
      <c r="E187" s="6"/>
      <c r="F187" s="6"/>
      <c r="G187" s="6"/>
      <c r="H187" s="6"/>
      <c r="I187" s="234">
        <f>I178*1000000/AVERAGE(H7,I7)/3</f>
        <v>17963.616215717058</v>
      </c>
      <c r="J187" s="16"/>
      <c r="K187" s="16"/>
      <c r="L187" s="234">
        <f>L178*1000000/AVERAGE(I7,L7)/3</f>
        <v>19419.811175692714</v>
      </c>
      <c r="M187" s="234">
        <f>M178*1000000/AVERAGE(J7,M7)/3</f>
        <v>19386.061946902653</v>
      </c>
      <c r="N187" s="234">
        <f>N178*1000000/AVERAGE(K7,N7)/6</f>
        <v>19394.880776794493</v>
      </c>
      <c r="O187" s="234">
        <f>O178*1000000/AVERAGE(L7,O7)/3</f>
        <v>20956.978350990328</v>
      </c>
      <c r="P187" s="6"/>
      <c r="Q187" s="6"/>
      <c r="R187" s="6"/>
      <c r="S187" s="6"/>
      <c r="T187" s="6"/>
      <c r="U187" s="6"/>
      <c r="V187" s="6"/>
      <c r="W187" s="6"/>
      <c r="X187" s="6"/>
      <c r="Y187" s="6"/>
      <c r="Z187" s="6"/>
      <c r="AA187" s="6"/>
      <c r="AB187" s="6"/>
      <c r="AC187" s="6"/>
      <c r="AD187" s="6"/>
      <c r="AE187" s="6"/>
      <c r="AJ187" s="10"/>
    </row>
    <row r="188" spans="1:36" x14ac:dyDescent="0.25">
      <c r="A188" s="6"/>
      <c r="B188" s="6"/>
      <c r="C188" s="6"/>
      <c r="D188" s="6"/>
      <c r="E188" s="6"/>
      <c r="F188" s="6"/>
      <c r="G188" s="6"/>
      <c r="H188" s="6"/>
      <c r="I188" s="6"/>
      <c r="J188" s="6"/>
      <c r="K188" s="6"/>
      <c r="L188" s="246">
        <f>L187/I187-1</f>
        <v>8.1063575534505938E-2</v>
      </c>
      <c r="M188" s="246">
        <f>M187/L187-1</f>
        <v>-1.7378762586683916E-3</v>
      </c>
      <c r="N188" s="6"/>
      <c r="O188" s="246">
        <f>O187/M187-1</f>
        <v>8.1033291257931905E-2</v>
      </c>
      <c r="P188" s="6"/>
      <c r="Q188" s="6"/>
      <c r="R188" s="6"/>
      <c r="S188" s="6"/>
      <c r="T188" s="6"/>
      <c r="U188" s="6"/>
      <c r="V188" s="6"/>
      <c r="W188" s="6"/>
      <c r="X188" s="6"/>
      <c r="Y188" s="6"/>
      <c r="Z188" s="6"/>
      <c r="AA188" s="6"/>
      <c r="AB188" s="6"/>
      <c r="AC188" s="6"/>
      <c r="AD188" s="6"/>
      <c r="AE188" s="6"/>
      <c r="AJ188" s="10"/>
    </row>
    <row r="189" spans="1:36"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J189" s="10"/>
    </row>
    <row r="190" spans="1:36" x14ac:dyDescent="0.25">
      <c r="A190" s="228" t="s">
        <v>575</v>
      </c>
      <c r="B190" s="244"/>
      <c r="C190" s="229"/>
      <c r="D190" s="229"/>
      <c r="E190" s="229"/>
      <c r="F190" s="229"/>
      <c r="G190" s="229"/>
      <c r="H190" s="229"/>
      <c r="I190" s="229" t="str">
        <f>I$1</f>
        <v>Q4 22</v>
      </c>
      <c r="J190" s="244"/>
      <c r="K190" s="244"/>
      <c r="L190" s="229" t="str">
        <f>L$1</f>
        <v>Q1 23</v>
      </c>
      <c r="M190" s="229" t="str">
        <f>M$1</f>
        <v>Q2 23</v>
      </c>
      <c r="N190" s="229" t="str">
        <f>N$1</f>
        <v>H1 2023</v>
      </c>
      <c r="O190" s="229" t="str">
        <f>O$1</f>
        <v>Q3 23</v>
      </c>
      <c r="P190" s="244"/>
      <c r="Q190" s="244"/>
      <c r="R190" s="244"/>
      <c r="S190" s="6"/>
      <c r="T190" s="6"/>
      <c r="U190" s="6"/>
      <c r="V190" s="6"/>
      <c r="W190" s="6"/>
      <c r="X190" s="6"/>
      <c r="Y190" s="6"/>
      <c r="Z190" s="6"/>
      <c r="AA190" s="6"/>
      <c r="AB190" s="6"/>
      <c r="AC190" s="244"/>
      <c r="AD190" s="6"/>
      <c r="AE190" s="6"/>
      <c r="AJ190" s="135" t="s">
        <v>558</v>
      </c>
    </row>
    <row r="191" spans="1:36" x14ac:dyDescent="0.25">
      <c r="A191" s="6" t="s">
        <v>35</v>
      </c>
      <c r="B191" s="16"/>
      <c r="C191" s="16"/>
      <c r="D191" s="16"/>
      <c r="E191" s="16"/>
      <c r="F191" s="16"/>
      <c r="G191" s="16"/>
      <c r="H191" s="16"/>
      <c r="I191" s="234">
        <f>I192+I193</f>
        <v>542.12799999999993</v>
      </c>
      <c r="J191" s="16"/>
      <c r="K191" s="16"/>
      <c r="L191" s="234">
        <f>L192+L193</f>
        <v>583.52299999999991</v>
      </c>
      <c r="M191" s="234">
        <f>M192+M193</f>
        <v>793.26499999999999</v>
      </c>
      <c r="N191" s="234">
        <f>L191+M191</f>
        <v>1376.788</v>
      </c>
      <c r="O191" s="234">
        <f>O192+O193</f>
        <v>761.81700000000001</v>
      </c>
      <c r="P191" s="16"/>
      <c r="Q191" s="16"/>
      <c r="R191" s="16"/>
      <c r="S191" s="6"/>
      <c r="T191" s="6"/>
      <c r="U191" s="6"/>
      <c r="V191" s="6"/>
      <c r="W191" s="6"/>
      <c r="X191" s="6"/>
      <c r="Y191" s="6"/>
      <c r="Z191" s="6"/>
      <c r="AA191" s="6"/>
      <c r="AB191" s="6"/>
      <c r="AC191" s="16"/>
      <c r="AD191" s="6"/>
      <c r="AE191" s="6"/>
      <c r="AJ191" s="138">
        <v>557.12799999999993</v>
      </c>
    </row>
    <row r="192" spans="1:36" x14ac:dyDescent="0.25">
      <c r="A192" s="233" t="s">
        <v>559</v>
      </c>
      <c r="B192" s="16"/>
      <c r="C192" s="16"/>
      <c r="D192" s="16"/>
      <c r="E192" s="16"/>
      <c r="F192" s="16"/>
      <c r="G192" s="16"/>
      <c r="H192" s="16"/>
      <c r="I192" s="235">
        <v>263.12</v>
      </c>
      <c r="J192" s="16"/>
      <c r="K192" s="16"/>
      <c r="L192" s="235">
        <v>287.29599999999999</v>
      </c>
      <c r="M192" s="235">
        <v>430.41899999999998</v>
      </c>
      <c r="N192" s="234">
        <f>L192+M192</f>
        <v>717.71499999999992</v>
      </c>
      <c r="O192" s="235">
        <v>420.67099999999999</v>
      </c>
      <c r="P192" s="16"/>
      <c r="Q192" s="16"/>
      <c r="R192" s="16"/>
      <c r="S192" s="6"/>
      <c r="T192" s="6"/>
      <c r="U192" s="6"/>
      <c r="V192" s="6"/>
      <c r="W192" s="6"/>
      <c r="X192" s="6"/>
      <c r="Y192" s="6"/>
      <c r="Z192" s="6"/>
      <c r="AA192" s="6"/>
      <c r="AB192" s="6"/>
      <c r="AC192" s="16"/>
      <c r="AD192" s="6"/>
      <c r="AE192" s="6"/>
      <c r="AJ192" s="143">
        <v>278.12</v>
      </c>
    </row>
    <row r="193" spans="1:36" x14ac:dyDescent="0.25">
      <c r="A193" s="233" t="s">
        <v>571</v>
      </c>
      <c r="B193" s="16"/>
      <c r="C193" s="16"/>
      <c r="D193" s="16"/>
      <c r="E193" s="16"/>
      <c r="F193" s="16"/>
      <c r="G193" s="16"/>
      <c r="H193" s="16"/>
      <c r="I193" s="235">
        <v>279.00799999999998</v>
      </c>
      <c r="J193" s="16"/>
      <c r="K193" s="16"/>
      <c r="L193" s="235">
        <v>296.22699999999998</v>
      </c>
      <c r="M193" s="235">
        <v>362.846</v>
      </c>
      <c r="N193" s="234">
        <f>L193+M193</f>
        <v>659.07299999999998</v>
      </c>
      <c r="O193" s="235">
        <v>341.14600000000002</v>
      </c>
      <c r="P193" s="16"/>
      <c r="Q193" s="16"/>
      <c r="R193" s="16"/>
      <c r="S193" s="6"/>
      <c r="T193" s="6"/>
      <c r="U193" s="6"/>
      <c r="V193" s="6"/>
      <c r="W193" s="6"/>
      <c r="X193" s="6"/>
      <c r="Y193" s="6"/>
      <c r="Z193" s="6"/>
      <c r="AA193" s="6"/>
      <c r="AB193" s="6"/>
      <c r="AC193" s="16"/>
      <c r="AD193" s="6"/>
      <c r="AE193" s="6"/>
      <c r="AJ193" s="143">
        <v>279.00799999999998</v>
      </c>
    </row>
    <row r="194" spans="1:36" x14ac:dyDescent="0.25">
      <c r="A194" s="233"/>
      <c r="B194" s="16"/>
      <c r="C194" s="16"/>
      <c r="D194" s="16"/>
      <c r="E194" s="16"/>
      <c r="F194" s="16"/>
      <c r="G194" s="16"/>
      <c r="H194" s="16"/>
      <c r="I194" s="234"/>
      <c r="J194" s="16"/>
      <c r="K194" s="16"/>
      <c r="L194" s="234"/>
      <c r="M194" s="234"/>
      <c r="N194" s="16"/>
      <c r="O194" s="234"/>
      <c r="P194" s="16"/>
      <c r="Q194" s="16"/>
      <c r="R194" s="16"/>
      <c r="S194" s="6"/>
      <c r="T194" s="6"/>
      <c r="U194" s="6"/>
      <c r="V194" s="6"/>
      <c r="W194" s="6"/>
      <c r="X194" s="6"/>
      <c r="Y194" s="6"/>
      <c r="Z194" s="6"/>
      <c r="AA194" s="6"/>
      <c r="AB194" s="6"/>
      <c r="AC194" s="16"/>
      <c r="AD194" s="6"/>
      <c r="AE194" s="6"/>
      <c r="AJ194" s="138"/>
    </row>
    <row r="195" spans="1:36" x14ac:dyDescent="0.25">
      <c r="A195" s="6" t="s">
        <v>572</v>
      </c>
      <c r="B195" s="16"/>
      <c r="C195" s="16"/>
      <c r="D195" s="16"/>
      <c r="E195" s="16"/>
      <c r="F195" s="16"/>
      <c r="G195" s="16"/>
      <c r="H195" s="16"/>
      <c r="I195" s="235">
        <v>60.953000000000003</v>
      </c>
      <c r="J195" s="16"/>
      <c r="K195" s="16"/>
      <c r="L195" s="235">
        <v>65.918000000000006</v>
      </c>
      <c r="M195" s="235">
        <v>65.385999999999996</v>
      </c>
      <c r="N195" s="234">
        <f>L195+M195</f>
        <v>131.304</v>
      </c>
      <c r="O195" s="235">
        <v>63.578000000000003</v>
      </c>
      <c r="P195" s="16"/>
      <c r="Q195" s="16"/>
      <c r="R195" s="16"/>
      <c r="S195" s="6"/>
      <c r="T195" s="6"/>
      <c r="U195" s="6"/>
      <c r="V195" s="6"/>
      <c r="W195" s="6"/>
      <c r="X195" s="6"/>
      <c r="Y195" s="6"/>
      <c r="Z195" s="6"/>
      <c r="AA195" s="6"/>
      <c r="AB195" s="6"/>
      <c r="AC195" s="16"/>
      <c r="AD195" s="6"/>
      <c r="AE195" s="6"/>
      <c r="AJ195" s="143">
        <v>25.337</v>
      </c>
    </row>
    <row r="196" spans="1:36" x14ac:dyDescent="0.25">
      <c r="A196" s="6"/>
      <c r="B196" s="16"/>
      <c r="C196" s="16"/>
      <c r="D196" s="16"/>
      <c r="E196" s="16"/>
      <c r="F196" s="16"/>
      <c r="G196" s="16"/>
      <c r="H196" s="16"/>
      <c r="I196" s="16"/>
      <c r="J196" s="16"/>
      <c r="K196" s="16"/>
      <c r="L196" s="16"/>
      <c r="M196" s="16"/>
      <c r="N196" s="16"/>
      <c r="O196" s="16"/>
      <c r="P196" s="16"/>
      <c r="Q196" s="16"/>
      <c r="R196" s="16"/>
      <c r="S196" s="6"/>
      <c r="T196" s="6"/>
      <c r="U196" s="6"/>
      <c r="V196" s="6"/>
      <c r="W196" s="6"/>
      <c r="X196" s="6"/>
      <c r="Y196" s="6"/>
      <c r="Z196" s="6"/>
      <c r="AA196" s="6"/>
      <c r="AB196" s="6"/>
      <c r="AC196" s="16"/>
      <c r="AD196" s="6"/>
      <c r="AE196" s="6"/>
      <c r="AJ196" s="136"/>
    </row>
    <row r="197" spans="1:36" x14ac:dyDescent="0.25">
      <c r="A197" s="6" t="s">
        <v>245</v>
      </c>
      <c r="B197" s="16"/>
      <c r="C197" s="16"/>
      <c r="D197" s="16"/>
      <c r="E197" s="16"/>
      <c r="F197" s="16"/>
      <c r="G197" s="16"/>
      <c r="H197" s="16"/>
      <c r="I197" s="235">
        <v>202.167</v>
      </c>
      <c r="J197" s="16"/>
      <c r="K197" s="16"/>
      <c r="L197" s="235">
        <v>221.37799999999999</v>
      </c>
      <c r="M197" s="235">
        <v>365.03300000000002</v>
      </c>
      <c r="N197" s="234">
        <f>L197+M197</f>
        <v>586.41100000000006</v>
      </c>
      <c r="O197" s="235">
        <v>357.09300000000002</v>
      </c>
      <c r="P197" s="16"/>
      <c r="Q197" s="16"/>
      <c r="R197" s="16"/>
      <c r="S197" s="6"/>
      <c r="T197" s="6"/>
      <c r="U197" s="6"/>
      <c r="V197" s="6"/>
      <c r="W197" s="6"/>
      <c r="X197" s="6"/>
      <c r="Y197" s="6"/>
      <c r="Z197" s="6"/>
      <c r="AA197" s="6"/>
      <c r="AB197" s="6"/>
      <c r="AC197" s="16"/>
      <c r="AD197" s="6"/>
      <c r="AE197" s="6"/>
      <c r="AJ197" s="143">
        <v>252.78399999999999</v>
      </c>
    </row>
    <row r="198" spans="1:36" x14ac:dyDescent="0.25">
      <c r="A198" s="6" t="s">
        <v>573</v>
      </c>
      <c r="B198" s="16"/>
      <c r="C198" s="16"/>
      <c r="D198" s="16"/>
      <c r="E198" s="16"/>
      <c r="F198" s="16"/>
      <c r="G198" s="16"/>
      <c r="H198" s="16"/>
      <c r="I198" s="246">
        <f>I197/I192</f>
        <v>0.76834524171480689</v>
      </c>
      <c r="J198" s="16"/>
      <c r="K198" s="16"/>
      <c r="L198" s="246">
        <f>L197/L192</f>
        <v>0.77055719536645129</v>
      </c>
      <c r="M198" s="246">
        <f>M197/M192</f>
        <v>0.84808756119037498</v>
      </c>
      <c r="N198" s="246">
        <f>N197/N192</f>
        <v>0.817052729844019</v>
      </c>
      <c r="O198" s="246">
        <f>O197/O192</f>
        <v>0.84886526525479533</v>
      </c>
      <c r="P198" s="16"/>
      <c r="Q198" s="16"/>
      <c r="R198" s="16"/>
      <c r="S198" s="6"/>
      <c r="T198" s="6"/>
      <c r="U198" s="6"/>
      <c r="V198" s="6"/>
      <c r="W198" s="6"/>
      <c r="X198" s="6"/>
      <c r="Y198" s="6"/>
      <c r="Z198" s="6"/>
      <c r="AA198" s="6"/>
      <c r="AB198" s="6"/>
      <c r="AC198" s="16"/>
      <c r="AD198" s="6"/>
      <c r="AE198" s="6"/>
      <c r="AJ198" s="139">
        <v>0.90890263195742838</v>
      </c>
    </row>
    <row r="199" spans="1:36" x14ac:dyDescent="0.25">
      <c r="A199" s="6" t="s">
        <v>574</v>
      </c>
      <c r="B199" s="16"/>
      <c r="C199" s="16"/>
      <c r="D199" s="16"/>
      <c r="E199" s="16"/>
      <c r="F199" s="16"/>
      <c r="G199" s="16"/>
      <c r="H199" s="16"/>
      <c r="I199" s="246">
        <f>I197/I191</f>
        <v>0.37291377682023441</v>
      </c>
      <c r="J199" s="16"/>
      <c r="K199" s="16"/>
      <c r="L199" s="246">
        <f>L197/L191</f>
        <v>0.37938178957813151</v>
      </c>
      <c r="M199" s="246">
        <f>M197/M191</f>
        <v>0.46016526633596594</v>
      </c>
      <c r="N199" s="246">
        <f>N197/N191</f>
        <v>0.42592686746252878</v>
      </c>
      <c r="O199" s="246">
        <f>O197/O191</f>
        <v>0.46873855532234121</v>
      </c>
      <c r="P199" s="16"/>
      <c r="Q199" s="16"/>
      <c r="R199" s="16"/>
      <c r="S199" s="6"/>
      <c r="T199" s="6"/>
      <c r="U199" s="6"/>
      <c r="V199" s="6"/>
      <c r="W199" s="6"/>
      <c r="X199" s="6"/>
      <c r="Y199" s="6"/>
      <c r="Z199" s="6"/>
      <c r="AA199" s="6"/>
      <c r="AB199" s="6"/>
      <c r="AC199" s="16"/>
      <c r="AD199" s="6"/>
      <c r="AE199" s="6"/>
      <c r="AJ199" s="139">
        <v>0.45372697118076999</v>
      </c>
    </row>
    <row r="200" spans="1:36" x14ac:dyDescent="0.25">
      <c r="A200" s="6"/>
      <c r="B200" s="6"/>
      <c r="C200" s="6"/>
      <c r="D200" s="6"/>
      <c r="E200" s="6"/>
      <c r="F200" s="6"/>
      <c r="G200" s="6"/>
      <c r="H200" s="6"/>
      <c r="I200" s="6"/>
      <c r="J200" s="6"/>
      <c r="K200" s="6"/>
      <c r="L200" s="6"/>
      <c r="M200" s="6"/>
      <c r="N200" s="16"/>
      <c r="O200" s="6"/>
      <c r="P200" s="6"/>
      <c r="Q200" s="6"/>
      <c r="R200" s="6"/>
      <c r="S200" s="6"/>
      <c r="T200" s="6"/>
      <c r="U200" s="6"/>
      <c r="V200" s="6"/>
      <c r="W200" s="6"/>
      <c r="X200" s="6"/>
      <c r="Y200" s="6"/>
      <c r="Z200" s="6"/>
      <c r="AA200" s="6"/>
      <c r="AB200" s="6"/>
      <c r="AC200" s="6"/>
      <c r="AD200" s="6"/>
      <c r="AE200" s="6"/>
    </row>
    <row r="201" spans="1:36" x14ac:dyDescent="0.25">
      <c r="A201" s="6"/>
      <c r="B201" s="6"/>
      <c r="C201" s="6"/>
      <c r="D201" s="6"/>
      <c r="E201" s="6"/>
      <c r="F201" s="6"/>
      <c r="G201" s="6"/>
      <c r="H201" s="6"/>
      <c r="I201" s="234">
        <f>I192*1000000/AVERAGE(H8,I8)/3</f>
        <v>16939.964590375021</v>
      </c>
      <c r="J201" s="234"/>
      <c r="K201" s="6"/>
      <c r="L201" s="234">
        <f>L192*1000000/AVERAGE(I8,L8)/3</f>
        <v>13814.96441623389</v>
      </c>
      <c r="M201" s="234">
        <f>M192*1000000/AVERAGE(J8,M8)/3</f>
        <v>20606.535008976662</v>
      </c>
      <c r="N201" s="234">
        <f>N192*1000000/AVERAGE(K8,N8)/6</f>
        <v>17180.490724117291</v>
      </c>
      <c r="O201" s="234">
        <f>O192*1000000/AVERAGE(L8,O8)/3</f>
        <v>16270.077933128348</v>
      </c>
      <c r="P201" s="6"/>
      <c r="Q201" s="6"/>
      <c r="R201" s="6"/>
      <c r="S201" s="6"/>
      <c r="T201" s="6"/>
      <c r="U201" s="6"/>
      <c r="V201" s="6"/>
      <c r="W201" s="6"/>
      <c r="X201" s="6"/>
      <c r="Y201" s="6"/>
      <c r="Z201" s="6"/>
      <c r="AA201" s="6"/>
      <c r="AB201" s="6"/>
      <c r="AC201" s="6"/>
      <c r="AD201" s="6"/>
      <c r="AE201" s="6"/>
    </row>
    <row r="202" spans="1:36" x14ac:dyDescent="0.25">
      <c r="A202" s="6"/>
      <c r="B202" s="6"/>
      <c r="C202" s="6"/>
      <c r="D202" s="6"/>
      <c r="E202" s="6"/>
      <c r="F202" s="6"/>
      <c r="G202" s="6"/>
      <c r="H202" s="6"/>
      <c r="I202" s="6"/>
      <c r="J202" s="6"/>
      <c r="K202" s="6"/>
      <c r="L202" s="246">
        <f>L201/I201-1</f>
        <v>-0.18447501218017293</v>
      </c>
      <c r="M202" s="246">
        <f>M201/L201-1</f>
        <v>0.49160970583189001</v>
      </c>
      <c r="N202" s="6"/>
      <c r="O202" s="246">
        <f>O201/M201-1</f>
        <v>-0.21044086616014079</v>
      </c>
      <c r="P202" s="6"/>
      <c r="Q202" s="6"/>
      <c r="R202" s="6"/>
      <c r="S202" s="6"/>
      <c r="T202" s="6"/>
      <c r="U202" s="6"/>
      <c r="V202" s="6"/>
      <c r="W202" s="6"/>
      <c r="X202" s="6"/>
      <c r="Y202" s="6"/>
      <c r="Z202" s="6"/>
      <c r="AA202" s="6"/>
      <c r="AB202" s="6"/>
      <c r="AC202" s="6"/>
      <c r="AD202" s="6"/>
      <c r="AE202" s="6"/>
    </row>
    <row r="203" spans="1:36"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row>
    <row r="204" spans="1:36" x14ac:dyDescent="0.25">
      <c r="A204" s="228" t="s">
        <v>576</v>
      </c>
      <c r="B204" s="244"/>
      <c r="C204" s="229"/>
      <c r="D204" s="229"/>
      <c r="E204" s="229"/>
      <c r="F204" s="229"/>
      <c r="G204" s="229"/>
      <c r="H204" s="229"/>
      <c r="I204" s="229" t="str">
        <f>I$1</f>
        <v>Q4 22</v>
      </c>
      <c r="J204" s="244"/>
      <c r="K204" s="244"/>
      <c r="L204" s="229" t="str">
        <f>L$1</f>
        <v>Q1 23</v>
      </c>
      <c r="M204" s="229" t="str">
        <f>M$1</f>
        <v>Q2 23</v>
      </c>
      <c r="N204" s="229" t="str">
        <f>N$1</f>
        <v>H1 2023</v>
      </c>
      <c r="O204" s="229" t="str">
        <f>O$1</f>
        <v>Q3 23</v>
      </c>
      <c r="P204" s="244"/>
      <c r="Q204" s="244"/>
      <c r="R204" s="244"/>
      <c r="S204" s="6"/>
      <c r="T204" s="6"/>
      <c r="U204" s="6"/>
      <c r="V204" s="6"/>
      <c r="W204" s="6"/>
      <c r="X204" s="6"/>
      <c r="Y204" s="6"/>
      <c r="Z204" s="6"/>
      <c r="AA204" s="6"/>
      <c r="AB204" s="6"/>
      <c r="AC204" s="244"/>
      <c r="AD204" s="6"/>
      <c r="AE204" s="6"/>
      <c r="AJ204" s="135" t="s">
        <v>558</v>
      </c>
    </row>
    <row r="205" spans="1:36" x14ac:dyDescent="0.25">
      <c r="A205" s="6" t="s">
        <v>35</v>
      </c>
      <c r="B205" s="16"/>
      <c r="C205" s="16"/>
      <c r="D205" s="16"/>
      <c r="E205" s="16"/>
      <c r="F205" s="16"/>
      <c r="G205" s="16"/>
      <c r="H205" s="16"/>
      <c r="I205" s="234">
        <f>I206+I207</f>
        <v>730.94299999999998</v>
      </c>
      <c r="J205" s="16"/>
      <c r="K205" s="16"/>
      <c r="L205" s="234">
        <f>L206+L207</f>
        <v>675.88</v>
      </c>
      <c r="M205" s="234">
        <f>M206+M207</f>
        <v>650.47</v>
      </c>
      <c r="N205" s="234">
        <f>L205+M205</f>
        <v>1326.35</v>
      </c>
      <c r="O205" s="234">
        <f>O206+O207</f>
        <v>658.00700000000006</v>
      </c>
      <c r="P205" s="16"/>
      <c r="Q205" s="16"/>
      <c r="R205" s="16"/>
      <c r="S205" s="6"/>
      <c r="T205" s="6"/>
      <c r="U205" s="6"/>
      <c r="V205" s="6"/>
      <c r="W205" s="6"/>
      <c r="X205" s="6"/>
      <c r="Y205" s="6"/>
      <c r="Z205" s="6"/>
      <c r="AA205" s="6"/>
      <c r="AB205" s="6"/>
      <c r="AC205" s="16"/>
      <c r="AD205" s="6"/>
      <c r="AE205" s="6"/>
      <c r="AJ205" s="138">
        <v>730.94299999999998</v>
      </c>
    </row>
    <row r="206" spans="1:36" x14ac:dyDescent="0.25">
      <c r="A206" s="233" t="s">
        <v>559</v>
      </c>
      <c r="B206" s="16"/>
      <c r="C206" s="16"/>
      <c r="D206" s="16"/>
      <c r="E206" s="16"/>
      <c r="F206" s="16"/>
      <c r="G206" s="16"/>
      <c r="H206" s="16"/>
      <c r="I206" s="235">
        <v>449.78800000000001</v>
      </c>
      <c r="J206" s="16"/>
      <c r="K206" s="16"/>
      <c r="L206" s="235">
        <v>392.84699999999998</v>
      </c>
      <c r="M206" s="235">
        <v>401.97800000000001</v>
      </c>
      <c r="N206" s="234">
        <f>L206+M206</f>
        <v>794.82500000000005</v>
      </c>
      <c r="O206" s="235">
        <v>400.74</v>
      </c>
      <c r="P206" s="16"/>
      <c r="Q206" s="16"/>
      <c r="R206" s="16"/>
      <c r="S206" s="6"/>
      <c r="T206" s="6"/>
      <c r="U206" s="6"/>
      <c r="V206" s="6"/>
      <c r="W206" s="6"/>
      <c r="X206" s="6"/>
      <c r="Y206" s="6"/>
      <c r="Z206" s="6"/>
      <c r="AA206" s="6"/>
      <c r="AB206" s="6"/>
      <c r="AC206" s="16"/>
      <c r="AD206" s="6"/>
      <c r="AE206" s="6"/>
      <c r="AJ206" s="143">
        <v>449.78800000000001</v>
      </c>
    </row>
    <row r="207" spans="1:36" x14ac:dyDescent="0.25">
      <c r="A207" s="233" t="s">
        <v>571</v>
      </c>
      <c r="B207" s="16"/>
      <c r="C207" s="16"/>
      <c r="D207" s="16"/>
      <c r="E207" s="16"/>
      <c r="F207" s="16"/>
      <c r="G207" s="16"/>
      <c r="H207" s="16"/>
      <c r="I207" s="235">
        <v>281.15499999999997</v>
      </c>
      <c r="J207" s="16"/>
      <c r="K207" s="16"/>
      <c r="L207" s="235">
        <v>283.03300000000002</v>
      </c>
      <c r="M207" s="235">
        <v>248.49199999999999</v>
      </c>
      <c r="N207" s="234">
        <f>L207+M207</f>
        <v>531.52499999999998</v>
      </c>
      <c r="O207" s="235">
        <v>257.267</v>
      </c>
      <c r="P207" s="16"/>
      <c r="Q207" s="16"/>
      <c r="R207" s="16"/>
      <c r="S207" s="6"/>
      <c r="T207" s="6"/>
      <c r="U207" s="6"/>
      <c r="V207" s="6"/>
      <c r="W207" s="6"/>
      <c r="X207" s="6"/>
      <c r="Y207" s="6"/>
      <c r="Z207" s="6"/>
      <c r="AA207" s="6"/>
      <c r="AB207" s="6"/>
      <c r="AC207" s="16"/>
      <c r="AD207" s="6"/>
      <c r="AE207" s="6"/>
      <c r="AJ207" s="143">
        <v>281.15499999999997</v>
      </c>
    </row>
    <row r="208" spans="1:36" x14ac:dyDescent="0.25">
      <c r="A208" s="233"/>
      <c r="B208" s="16"/>
      <c r="C208" s="16"/>
      <c r="D208" s="16"/>
      <c r="E208" s="16"/>
      <c r="F208" s="16"/>
      <c r="G208" s="16"/>
      <c r="H208" s="16"/>
      <c r="I208" s="234"/>
      <c r="J208" s="16"/>
      <c r="K208" s="16"/>
      <c r="L208" s="234"/>
      <c r="M208" s="234"/>
      <c r="N208" s="16"/>
      <c r="O208" s="234"/>
      <c r="P208" s="16"/>
      <c r="Q208" s="16"/>
      <c r="R208" s="16"/>
      <c r="S208" s="6"/>
      <c r="T208" s="6"/>
      <c r="U208" s="6"/>
      <c r="V208" s="6"/>
      <c r="W208" s="6"/>
      <c r="X208" s="6"/>
      <c r="Y208" s="6"/>
      <c r="Z208" s="6"/>
      <c r="AA208" s="6"/>
      <c r="AB208" s="6"/>
      <c r="AC208" s="16"/>
      <c r="AD208" s="6"/>
      <c r="AE208" s="6"/>
      <c r="AJ208" s="138"/>
    </row>
    <row r="209" spans="1:36" x14ac:dyDescent="0.25">
      <c r="A209" s="6" t="s">
        <v>572</v>
      </c>
      <c r="B209" s="16"/>
      <c r="C209" s="16"/>
      <c r="D209" s="16"/>
      <c r="E209" s="16"/>
      <c r="F209" s="16"/>
      <c r="G209" s="16"/>
      <c r="H209" s="16"/>
      <c r="I209" s="235">
        <v>32.686999999999998</v>
      </c>
      <c r="J209" s="16"/>
      <c r="K209" s="16"/>
      <c r="L209" s="235">
        <v>82.179000000000002</v>
      </c>
      <c r="M209" s="235">
        <v>59.042999999999999</v>
      </c>
      <c r="N209" s="234">
        <f>L209+M209</f>
        <v>141.22200000000001</v>
      </c>
      <c r="O209" s="235">
        <v>53.600999999999999</v>
      </c>
      <c r="P209" s="16"/>
      <c r="Q209" s="16"/>
      <c r="R209" s="16"/>
      <c r="S209" s="6"/>
      <c r="T209" s="6"/>
      <c r="U209" s="6"/>
      <c r="V209" s="6"/>
      <c r="W209" s="6"/>
      <c r="X209" s="6"/>
      <c r="Y209" s="6"/>
      <c r="Z209" s="6"/>
      <c r="AA209" s="6"/>
      <c r="AB209" s="6"/>
      <c r="AC209" s="16"/>
      <c r="AD209" s="6"/>
      <c r="AE209" s="6"/>
      <c r="AJ209" s="143">
        <v>32.686999999999998</v>
      </c>
    </row>
    <row r="210" spans="1:36" x14ac:dyDescent="0.25">
      <c r="A210" s="6"/>
      <c r="B210" s="16"/>
      <c r="C210" s="16"/>
      <c r="D210" s="16"/>
      <c r="E210" s="16"/>
      <c r="F210" s="16"/>
      <c r="G210" s="16"/>
      <c r="H210" s="16"/>
      <c r="I210" s="16"/>
      <c r="J210" s="16"/>
      <c r="K210" s="16"/>
      <c r="L210" s="16"/>
      <c r="M210" s="16"/>
      <c r="N210" s="16"/>
      <c r="O210" s="16"/>
      <c r="P210" s="16"/>
      <c r="Q210" s="16"/>
      <c r="R210" s="16"/>
      <c r="S210" s="6"/>
      <c r="T210" s="6"/>
      <c r="U210" s="6"/>
      <c r="V210" s="6"/>
      <c r="W210" s="6"/>
      <c r="X210" s="6"/>
      <c r="Y210" s="6"/>
      <c r="Z210" s="6"/>
      <c r="AA210" s="6"/>
      <c r="AB210" s="6"/>
      <c r="AC210" s="16"/>
      <c r="AD210" s="6"/>
      <c r="AE210" s="6"/>
      <c r="AJ210" s="136"/>
    </row>
    <row r="211" spans="1:36" x14ac:dyDescent="0.25">
      <c r="A211" s="6" t="s">
        <v>245</v>
      </c>
      <c r="B211" s="16"/>
      <c r="C211" s="16"/>
      <c r="D211" s="16"/>
      <c r="E211" s="16"/>
      <c r="F211" s="16"/>
      <c r="G211" s="16"/>
      <c r="H211" s="16"/>
      <c r="I211" s="235">
        <v>417.101</v>
      </c>
      <c r="J211" s="16"/>
      <c r="K211" s="16"/>
      <c r="L211" s="235">
        <v>310.66899999999998</v>
      </c>
      <c r="M211" s="235">
        <v>342.935</v>
      </c>
      <c r="N211" s="234">
        <f>L211+M211</f>
        <v>653.60400000000004</v>
      </c>
      <c r="O211" s="235">
        <v>357.13900000000001</v>
      </c>
      <c r="P211" s="16"/>
      <c r="Q211" s="16"/>
      <c r="R211" s="16"/>
      <c r="S211" s="6"/>
      <c r="T211" s="6"/>
      <c r="U211" s="6"/>
      <c r="V211" s="6"/>
      <c r="W211" s="6"/>
      <c r="X211" s="6"/>
      <c r="Y211" s="6"/>
      <c r="Z211" s="6"/>
      <c r="AA211" s="6"/>
      <c r="AB211" s="6"/>
      <c r="AC211" s="16"/>
      <c r="AD211" s="6"/>
      <c r="AE211" s="6"/>
      <c r="AJ211" s="143">
        <v>417.101</v>
      </c>
    </row>
    <row r="212" spans="1:36" x14ac:dyDescent="0.25">
      <c r="A212" s="6" t="s">
        <v>573</v>
      </c>
      <c r="B212" s="16"/>
      <c r="C212" s="16"/>
      <c r="D212" s="16"/>
      <c r="E212" s="16"/>
      <c r="F212" s="16"/>
      <c r="G212" s="16"/>
      <c r="H212" s="16"/>
      <c r="I212" s="246">
        <f>I211/I206</f>
        <v>0.92732798562878505</v>
      </c>
      <c r="J212" s="16"/>
      <c r="K212" s="16"/>
      <c r="L212" s="246">
        <f>L211/L206</f>
        <v>0.79081423556753649</v>
      </c>
      <c r="M212" s="246">
        <f>M211/M206</f>
        <v>0.8531188273985143</v>
      </c>
      <c r="N212" s="246">
        <f>N211/N206</f>
        <v>0.82232441103387544</v>
      </c>
      <c r="O212" s="246">
        <f>O211/O206</f>
        <v>0.89119878225283222</v>
      </c>
      <c r="P212" s="16"/>
      <c r="Q212" s="16"/>
      <c r="R212" s="16"/>
      <c r="S212" s="6"/>
      <c r="T212" s="6"/>
      <c r="U212" s="6"/>
      <c r="V212" s="6"/>
      <c r="W212" s="6"/>
      <c r="X212" s="6"/>
      <c r="Y212" s="6"/>
      <c r="Z212" s="6"/>
      <c r="AA212" s="6"/>
      <c r="AB212" s="6"/>
      <c r="AC212" s="16"/>
      <c r="AD212" s="6"/>
      <c r="AE212" s="6"/>
      <c r="AJ212" s="139">
        <v>0.92732798562878505</v>
      </c>
    </row>
    <row r="213" spans="1:36" x14ac:dyDescent="0.25">
      <c r="A213" s="6" t="s">
        <v>574</v>
      </c>
      <c r="B213" s="16"/>
      <c r="C213" s="16"/>
      <c r="D213" s="16"/>
      <c r="E213" s="16"/>
      <c r="F213" s="16"/>
      <c r="G213" s="16"/>
      <c r="H213" s="16"/>
      <c r="I213" s="246">
        <f>I211/I205</f>
        <v>0.57063409869169002</v>
      </c>
      <c r="J213" s="16"/>
      <c r="K213" s="16"/>
      <c r="L213" s="246">
        <f>L211/L205</f>
        <v>0.45965112150085813</v>
      </c>
      <c r="M213" s="246">
        <f>M211/M205</f>
        <v>0.52721109351699535</v>
      </c>
      <c r="N213" s="246">
        <f>N211/N205</f>
        <v>0.49278395596938973</v>
      </c>
      <c r="O213" s="246">
        <f>O211/O205</f>
        <v>0.54275866366163272</v>
      </c>
      <c r="P213" s="16"/>
      <c r="Q213" s="16"/>
      <c r="R213" s="16"/>
      <c r="S213" s="6"/>
      <c r="T213" s="6"/>
      <c r="U213" s="6"/>
      <c r="V213" s="6"/>
      <c r="W213" s="6"/>
      <c r="X213" s="6"/>
      <c r="Y213" s="6"/>
      <c r="Z213" s="6"/>
      <c r="AA213" s="6"/>
      <c r="AB213" s="6"/>
      <c r="AC213" s="16"/>
      <c r="AD213" s="6"/>
      <c r="AE213" s="6"/>
      <c r="AJ213" s="139">
        <v>0.57063409869169002</v>
      </c>
    </row>
    <row r="214" spans="1:36" x14ac:dyDescent="0.25">
      <c r="A214" s="6"/>
      <c r="B214" s="6"/>
      <c r="C214" s="6"/>
      <c r="D214" s="6"/>
      <c r="E214" s="6"/>
      <c r="F214" s="6"/>
      <c r="G214" s="6"/>
      <c r="H214" s="6"/>
      <c r="I214" s="6"/>
      <c r="J214" s="6"/>
      <c r="K214" s="6"/>
      <c r="L214" s="6"/>
      <c r="M214" s="6"/>
      <c r="N214" s="16"/>
      <c r="O214" s="6"/>
      <c r="P214" s="6"/>
      <c r="Q214" s="6"/>
      <c r="R214" s="6"/>
      <c r="S214" s="6"/>
      <c r="T214" s="6"/>
      <c r="U214" s="6"/>
      <c r="V214" s="6"/>
      <c r="W214" s="6"/>
      <c r="X214" s="6"/>
      <c r="Y214" s="6"/>
      <c r="Z214" s="6"/>
      <c r="AA214" s="6"/>
      <c r="AB214" s="6"/>
      <c r="AC214" s="6"/>
      <c r="AD214" s="6"/>
      <c r="AE214" s="6"/>
    </row>
    <row r="215" spans="1:36" x14ac:dyDescent="0.25">
      <c r="A215" s="6"/>
      <c r="B215" s="6"/>
      <c r="C215" s="6"/>
      <c r="D215" s="6"/>
      <c r="E215" s="6"/>
      <c r="F215" s="6"/>
      <c r="G215" s="6"/>
      <c r="H215" s="6"/>
      <c r="I215" s="234">
        <f>I206*1000000/AVERAGE(H6,I6)/3</f>
        <v>19691.270466684178</v>
      </c>
      <c r="J215" s="6"/>
      <c r="K215" s="6"/>
      <c r="L215" s="234">
        <f>L206*1000000/AVERAGE(I6,L6)/3</f>
        <v>15736.225440124979</v>
      </c>
      <c r="M215" s="234">
        <f>M206*1000000/AVERAGE(J6,M6)/3</f>
        <v>16057.602812231611</v>
      </c>
      <c r="N215" s="234">
        <f>N206*1000000/AVERAGE(K6,N6)/6</f>
        <v>15875.227195557951</v>
      </c>
      <c r="O215" s="234">
        <f>O206*1000000/AVERAGE(L6,O6)/3</f>
        <v>14733.359069100536</v>
      </c>
      <c r="P215" s="6"/>
      <c r="Q215" s="6"/>
      <c r="R215" s="6"/>
      <c r="S215" s="6"/>
      <c r="T215" s="6"/>
      <c r="U215" s="6"/>
      <c r="V215" s="6"/>
      <c r="W215" s="6"/>
      <c r="X215" s="6"/>
      <c r="Y215" s="6"/>
      <c r="Z215" s="6"/>
      <c r="AA215" s="6"/>
      <c r="AB215" s="6"/>
      <c r="AC215" s="6"/>
      <c r="AD215" s="6"/>
      <c r="AE215" s="6"/>
    </row>
    <row r="216" spans="1:36" x14ac:dyDescent="0.25">
      <c r="A216" s="6"/>
      <c r="B216" s="6"/>
      <c r="C216" s="6"/>
      <c r="D216" s="6"/>
      <c r="E216" s="6"/>
      <c r="F216" s="6"/>
      <c r="G216" s="6"/>
      <c r="H216" s="6"/>
      <c r="I216" s="6"/>
      <c r="J216" s="6"/>
      <c r="K216" s="6"/>
      <c r="L216" s="246">
        <f>L215/I215-1</f>
        <v>-0.20085270949128309</v>
      </c>
      <c r="M216" s="246">
        <f>M215/L215-1</f>
        <v>2.0422773766774371E-2</v>
      </c>
      <c r="N216" s="6"/>
      <c r="O216" s="246">
        <f>O215/M215-1</f>
        <v>-8.2468333450267828E-2</v>
      </c>
      <c r="P216" s="6"/>
      <c r="Q216" s="6"/>
      <c r="R216" s="6"/>
      <c r="S216" s="6"/>
      <c r="T216" s="6"/>
      <c r="U216" s="6"/>
      <c r="V216" s="6"/>
      <c r="W216" s="6"/>
      <c r="X216" s="6"/>
      <c r="Y216" s="6"/>
      <c r="Z216" s="6"/>
      <c r="AA216" s="6"/>
      <c r="AB216" s="6"/>
      <c r="AC216" s="6"/>
      <c r="AD216" s="6"/>
      <c r="AE216" s="6"/>
    </row>
    <row r="217" spans="1:36"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row>
    <row r="218" spans="1:36"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row>
    <row r="219" spans="1:36"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row>
    <row r="220" spans="1:36"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row>
    <row r="221" spans="1:36"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row>
    <row r="222" spans="1:36"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row>
    <row r="223" spans="1:36"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row>
    <row r="224" spans="1:36"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row>
    <row r="225" spans="1:36"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row>
    <row r="226" spans="1:36"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row>
    <row r="227" spans="1:36"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row>
    <row r="228" spans="1:36"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J228" s="10"/>
    </row>
    <row r="229" spans="1:36"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J229" s="10"/>
    </row>
    <row r="230" spans="1:36"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J230" s="10"/>
    </row>
    <row r="231" spans="1:36"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J231" s="10"/>
    </row>
    <row r="232" spans="1:36"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J232" s="10"/>
    </row>
    <row r="233" spans="1:36"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J233" s="10"/>
    </row>
    <row r="234" spans="1:36"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J234" s="10"/>
    </row>
    <row r="235" spans="1:36" x14ac:dyDescent="0.25">
      <c r="A235" s="20" t="s">
        <v>595</v>
      </c>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J235" s="10"/>
    </row>
    <row r="236" spans="1:36" x14ac:dyDescent="0.25">
      <c r="A236" s="6" t="s">
        <v>581</v>
      </c>
      <c r="B236" s="6"/>
      <c r="C236" s="6"/>
      <c r="D236" s="6"/>
      <c r="E236" s="6"/>
      <c r="F236" s="6"/>
      <c r="G236" s="6"/>
      <c r="H236" s="235">
        <v>147.32</v>
      </c>
      <c r="I236" s="235">
        <v>177.16</v>
      </c>
      <c r="J236" s="6"/>
      <c r="K236" s="6"/>
      <c r="L236" s="6"/>
      <c r="M236" s="6"/>
      <c r="N236" s="6"/>
      <c r="O236" s="6"/>
      <c r="P236" s="6"/>
      <c r="Q236" s="6"/>
      <c r="R236" s="6"/>
      <c r="S236" s="6"/>
      <c r="T236" s="6"/>
      <c r="U236" s="6"/>
      <c r="V236" s="6"/>
      <c r="W236" s="6"/>
      <c r="X236" s="6"/>
      <c r="Y236" s="6"/>
      <c r="Z236" s="6"/>
      <c r="AA236" s="6"/>
      <c r="AB236" s="6"/>
      <c r="AC236" s="6"/>
      <c r="AD236" s="6"/>
      <c r="AE236" s="6"/>
      <c r="AJ236" s="143">
        <v>177.16</v>
      </c>
    </row>
    <row r="237" spans="1:36" x14ac:dyDescent="0.25">
      <c r="A237" s="6" t="s">
        <v>582</v>
      </c>
      <c r="B237" s="6"/>
      <c r="C237" s="6"/>
      <c r="D237" s="6"/>
      <c r="E237" s="6"/>
      <c r="F237" s="6"/>
      <c r="G237" s="6"/>
      <c r="H237" s="235">
        <v>6910.8</v>
      </c>
      <c r="I237" s="235">
        <v>7203.2357000000002</v>
      </c>
      <c r="J237" s="6"/>
      <c r="K237" s="6"/>
      <c r="L237" s="6"/>
      <c r="M237" s="6"/>
      <c r="N237" s="6"/>
      <c r="O237" s="6"/>
      <c r="P237" s="6"/>
      <c r="Q237" s="6"/>
      <c r="R237" s="6"/>
      <c r="S237" s="6"/>
      <c r="T237" s="6"/>
      <c r="U237" s="6"/>
      <c r="V237" s="6"/>
      <c r="W237" s="6"/>
      <c r="X237" s="6"/>
      <c r="Y237" s="6"/>
      <c r="Z237" s="6"/>
      <c r="AA237" s="6"/>
      <c r="AB237" s="6"/>
      <c r="AC237" s="6"/>
      <c r="AD237" s="6"/>
      <c r="AE237" s="6"/>
      <c r="AJ237" s="143">
        <v>7203.2357000000002</v>
      </c>
    </row>
    <row r="238" spans="1:36" x14ac:dyDescent="0.25">
      <c r="A238" s="6" t="s">
        <v>583</v>
      </c>
      <c r="B238" s="6"/>
      <c r="C238" s="6"/>
      <c r="D238" s="6"/>
      <c r="E238" s="6"/>
      <c r="F238" s="6"/>
      <c r="G238" s="6"/>
      <c r="H238" s="235">
        <v>40.83</v>
      </c>
      <c r="I238" s="235">
        <v>39.961599999999997</v>
      </c>
      <c r="J238" s="6"/>
      <c r="K238" s="6"/>
      <c r="L238" s="6"/>
      <c r="M238" s="6"/>
      <c r="N238" s="6"/>
      <c r="O238" s="6"/>
      <c r="P238" s="6"/>
      <c r="Q238" s="6"/>
      <c r="R238" s="6"/>
      <c r="S238" s="6"/>
      <c r="T238" s="6"/>
      <c r="U238" s="6"/>
      <c r="V238" s="6"/>
      <c r="W238" s="6"/>
      <c r="X238" s="6"/>
      <c r="Y238" s="6"/>
      <c r="Z238" s="6"/>
      <c r="AA238" s="6"/>
      <c r="AB238" s="6"/>
      <c r="AC238" s="6"/>
      <c r="AD238" s="6"/>
      <c r="AE238" s="6"/>
      <c r="AJ238" s="143">
        <v>39.961599999999997</v>
      </c>
    </row>
    <row r="239" spans="1:36" x14ac:dyDescent="0.25">
      <c r="A239" s="6" t="s">
        <v>584</v>
      </c>
      <c r="B239" s="6"/>
      <c r="C239" s="6"/>
      <c r="D239" s="6"/>
      <c r="E239" s="6"/>
      <c r="F239" s="6"/>
      <c r="G239" s="6"/>
      <c r="H239" s="235">
        <v>664.5</v>
      </c>
      <c r="I239" s="235">
        <v>614.02850000000001</v>
      </c>
      <c r="J239" s="6"/>
      <c r="K239" s="6"/>
      <c r="L239" s="6"/>
      <c r="M239" s="6"/>
      <c r="N239" s="6"/>
      <c r="O239" s="6"/>
      <c r="P239" s="6"/>
      <c r="Q239" s="6"/>
      <c r="R239" s="6"/>
      <c r="S239" s="6"/>
      <c r="T239" s="6"/>
      <c r="U239" s="6"/>
      <c r="V239" s="6"/>
      <c r="W239" s="6"/>
      <c r="X239" s="6"/>
      <c r="Y239" s="6"/>
      <c r="Z239" s="6"/>
      <c r="AA239" s="6"/>
      <c r="AB239" s="6"/>
      <c r="AC239" s="6"/>
      <c r="AD239" s="6"/>
      <c r="AE239" s="6"/>
      <c r="AJ239" s="143">
        <v>614.02850000000001</v>
      </c>
    </row>
    <row r="240" spans="1:36" x14ac:dyDescent="0.25">
      <c r="A240" s="6" t="s">
        <v>589</v>
      </c>
      <c r="B240" s="6"/>
      <c r="C240" s="6"/>
      <c r="D240" s="6"/>
      <c r="E240" s="6"/>
      <c r="F240" s="6"/>
      <c r="G240" s="6"/>
      <c r="H240" s="235">
        <v>1</v>
      </c>
      <c r="I240" s="235">
        <v>1</v>
      </c>
      <c r="J240" s="6"/>
      <c r="K240" s="6"/>
      <c r="L240" s="6"/>
      <c r="M240" s="6"/>
      <c r="N240" s="6"/>
      <c r="O240" s="6"/>
      <c r="P240" s="6"/>
      <c r="Q240" s="6"/>
      <c r="R240" s="6"/>
      <c r="S240" s="6"/>
      <c r="T240" s="6"/>
      <c r="U240" s="6"/>
      <c r="V240" s="6"/>
      <c r="W240" s="6"/>
      <c r="X240" s="6"/>
      <c r="Y240" s="6"/>
      <c r="Z240" s="6"/>
      <c r="AA240" s="6"/>
      <c r="AB240" s="6"/>
      <c r="AC240" s="6"/>
      <c r="AD240" s="6"/>
      <c r="AE240" s="6"/>
      <c r="AJ240" s="143">
        <v>1</v>
      </c>
    </row>
    <row r="241" spans="1:36" x14ac:dyDescent="0.25">
      <c r="A241" s="6" t="s">
        <v>585</v>
      </c>
      <c r="B241" s="6"/>
      <c r="C241" s="6"/>
      <c r="D241" s="6"/>
      <c r="E241" s="6"/>
      <c r="F241" s="6"/>
      <c r="G241" s="6"/>
      <c r="H241" s="235">
        <v>7.7572999999999999</v>
      </c>
      <c r="I241" s="235">
        <v>7.8491</v>
      </c>
      <c r="J241" s="6"/>
      <c r="K241" s="6"/>
      <c r="L241" s="6"/>
      <c r="M241" s="6"/>
      <c r="N241" s="6"/>
      <c r="O241" s="6"/>
      <c r="P241" s="6"/>
      <c r="Q241" s="6"/>
      <c r="R241" s="6"/>
      <c r="S241" s="6"/>
      <c r="T241" s="6"/>
      <c r="U241" s="6"/>
      <c r="V241" s="6"/>
      <c r="W241" s="6"/>
      <c r="X241" s="6"/>
      <c r="Y241" s="6"/>
      <c r="Z241" s="6"/>
      <c r="AA241" s="6"/>
      <c r="AB241" s="6"/>
      <c r="AC241" s="6"/>
      <c r="AD241" s="6"/>
      <c r="AE241" s="6"/>
      <c r="AJ241" s="143">
        <v>7.8491</v>
      </c>
    </row>
    <row r="242" spans="1:36" x14ac:dyDescent="0.25">
      <c r="A242" s="6" t="s">
        <v>586</v>
      </c>
      <c r="B242" s="6"/>
      <c r="C242" s="6"/>
      <c r="D242" s="6"/>
      <c r="E242" s="6"/>
      <c r="F242" s="6"/>
      <c r="G242" s="6"/>
      <c r="H242" s="235">
        <v>35.963700000000003</v>
      </c>
      <c r="I242" s="235">
        <v>36.143099999999997</v>
      </c>
      <c r="J242" s="6"/>
      <c r="K242" s="6"/>
      <c r="L242" s="6"/>
      <c r="M242" s="6"/>
      <c r="N242" s="6"/>
      <c r="O242" s="6"/>
      <c r="P242" s="6"/>
      <c r="Q242" s="6"/>
      <c r="R242" s="6"/>
      <c r="S242" s="6"/>
      <c r="T242" s="6"/>
      <c r="U242" s="6"/>
      <c r="V242" s="6"/>
      <c r="W242" s="6"/>
      <c r="X242" s="6"/>
      <c r="Y242" s="6"/>
      <c r="Z242" s="6"/>
      <c r="AA242" s="6"/>
      <c r="AB242" s="6"/>
      <c r="AC242" s="6"/>
      <c r="AD242" s="6"/>
      <c r="AE242" s="6"/>
      <c r="AJ242" s="143">
        <v>36.143099999999997</v>
      </c>
    </row>
    <row r="243" spans="1:36" x14ac:dyDescent="0.25">
      <c r="A243" s="6" t="s">
        <v>587</v>
      </c>
      <c r="B243" s="6"/>
      <c r="C243" s="6"/>
      <c r="D243" s="6"/>
      <c r="E243" s="6"/>
      <c r="F243" s="6"/>
      <c r="G243" s="6"/>
      <c r="H243" s="235">
        <v>24.630800000000001</v>
      </c>
      <c r="I243" s="235">
        <v>24.773299999999999</v>
      </c>
      <c r="J243" s="6"/>
      <c r="K243" s="6"/>
      <c r="L243" s="6"/>
      <c r="M243" s="6"/>
      <c r="N243" s="6"/>
      <c r="O243" s="6"/>
      <c r="P243" s="6"/>
      <c r="Q243" s="6"/>
      <c r="R243" s="6"/>
      <c r="S243" s="6"/>
      <c r="T243" s="6"/>
      <c r="U243" s="6"/>
      <c r="V243" s="6"/>
      <c r="W243" s="6"/>
      <c r="X243" s="6"/>
      <c r="Y243" s="6"/>
      <c r="Z243" s="6"/>
      <c r="AA243" s="6"/>
      <c r="AB243" s="6"/>
      <c r="AC243" s="6"/>
      <c r="AD243" s="6"/>
      <c r="AE243" s="6"/>
      <c r="AJ243" s="143">
        <v>24.773299999999999</v>
      </c>
    </row>
    <row r="244" spans="1:36" x14ac:dyDescent="0.25">
      <c r="A244" s="6" t="s">
        <v>588</v>
      </c>
      <c r="B244" s="6"/>
      <c r="C244" s="6"/>
      <c r="D244" s="6"/>
      <c r="E244" s="6"/>
      <c r="F244" s="6"/>
      <c r="G244" s="6"/>
      <c r="H244" s="235">
        <v>1</v>
      </c>
      <c r="I244" s="235">
        <v>1</v>
      </c>
      <c r="J244" s="6"/>
      <c r="K244" s="6"/>
      <c r="L244" s="6"/>
      <c r="M244" s="6"/>
      <c r="N244" s="6"/>
      <c r="O244" s="6"/>
      <c r="P244" s="6"/>
      <c r="Q244" s="6"/>
      <c r="R244" s="6"/>
      <c r="S244" s="6"/>
      <c r="T244" s="6"/>
      <c r="U244" s="6"/>
      <c r="V244" s="6"/>
      <c r="W244" s="6"/>
      <c r="X244" s="6"/>
      <c r="Y244" s="6"/>
      <c r="Z244" s="6"/>
      <c r="AA244" s="6"/>
      <c r="AB244" s="6"/>
      <c r="AC244" s="6"/>
      <c r="AD244" s="6"/>
      <c r="AE244" s="6"/>
      <c r="AJ244" s="143">
        <v>1</v>
      </c>
    </row>
    <row r="245" spans="1:36" x14ac:dyDescent="0.25">
      <c r="A245" s="6" t="s">
        <v>590</v>
      </c>
      <c r="B245" s="6"/>
      <c r="C245" s="6"/>
      <c r="D245" s="6"/>
      <c r="E245" s="6"/>
      <c r="F245" s="6"/>
      <c r="G245" s="6"/>
      <c r="H245" s="235">
        <v>1</v>
      </c>
      <c r="I245" s="235">
        <v>1</v>
      </c>
      <c r="J245" s="6"/>
      <c r="K245" s="6"/>
      <c r="L245" s="6"/>
      <c r="M245" s="6"/>
      <c r="N245" s="6"/>
      <c r="O245" s="6"/>
      <c r="P245" s="6"/>
      <c r="Q245" s="6"/>
      <c r="R245" s="6"/>
      <c r="S245" s="6"/>
      <c r="T245" s="6"/>
      <c r="U245" s="6"/>
      <c r="V245" s="6"/>
      <c r="W245" s="6"/>
      <c r="X245" s="6"/>
      <c r="Y245" s="6"/>
      <c r="Z245" s="6"/>
      <c r="AA245" s="6"/>
      <c r="AB245" s="6"/>
      <c r="AC245" s="6"/>
      <c r="AD245" s="6"/>
      <c r="AE245" s="6"/>
      <c r="AJ245" s="143">
        <v>1</v>
      </c>
    </row>
    <row r="246" spans="1:36" x14ac:dyDescent="0.25">
      <c r="A246" s="6" t="s">
        <v>591</v>
      </c>
      <c r="B246" s="6"/>
      <c r="C246" s="6"/>
      <c r="D246" s="6"/>
      <c r="E246" s="6"/>
      <c r="F246" s="6"/>
      <c r="G246" s="6"/>
      <c r="H246" s="235">
        <v>1</v>
      </c>
      <c r="I246" s="235">
        <v>1</v>
      </c>
      <c r="J246" s="6"/>
      <c r="K246" s="6"/>
      <c r="L246" s="6"/>
      <c r="M246" s="6"/>
      <c r="N246" s="6"/>
      <c r="O246" s="6"/>
      <c r="P246" s="6"/>
      <c r="Q246" s="6"/>
      <c r="R246" s="6"/>
      <c r="S246" s="6"/>
      <c r="T246" s="6"/>
      <c r="U246" s="6"/>
      <c r="V246" s="6"/>
      <c r="W246" s="6"/>
      <c r="X246" s="6"/>
      <c r="Y246" s="6"/>
      <c r="Z246" s="6"/>
      <c r="AA246" s="6"/>
      <c r="AB246" s="6"/>
      <c r="AC246" s="6"/>
      <c r="AD246" s="6"/>
      <c r="AE246" s="6"/>
      <c r="AJ246" s="143">
        <v>1</v>
      </c>
    </row>
    <row r="247" spans="1:36" x14ac:dyDescent="0.25">
      <c r="A247" s="6" t="s">
        <v>592</v>
      </c>
      <c r="B247" s="6"/>
      <c r="C247" s="6"/>
      <c r="D247" s="6"/>
      <c r="E247" s="6"/>
      <c r="F247" s="6"/>
      <c r="G247" s="6"/>
      <c r="H247" s="235">
        <v>925.21410000000003</v>
      </c>
      <c r="I247" s="235">
        <v>915.37660000000005</v>
      </c>
      <c r="J247" s="6"/>
      <c r="K247" s="6"/>
      <c r="L247" s="6"/>
      <c r="M247" s="6"/>
      <c r="N247" s="6"/>
      <c r="O247" s="6"/>
      <c r="P247" s="6"/>
      <c r="Q247" s="6"/>
      <c r="R247" s="6"/>
      <c r="S247" s="6"/>
      <c r="T247" s="6"/>
      <c r="U247" s="6"/>
      <c r="V247" s="6"/>
      <c r="W247" s="6"/>
      <c r="X247" s="6"/>
      <c r="Y247" s="6"/>
      <c r="Z247" s="6"/>
      <c r="AA247" s="6"/>
      <c r="AB247" s="6"/>
      <c r="AC247" s="6"/>
      <c r="AD247" s="6"/>
      <c r="AE247" s="6"/>
      <c r="AJ247" s="143">
        <v>915.37660000000005</v>
      </c>
    </row>
    <row r="248" spans="1:36" x14ac:dyDescent="0.25">
      <c r="A248" s="6" t="s">
        <v>593</v>
      </c>
      <c r="B248" s="6"/>
      <c r="C248" s="6"/>
      <c r="D248" s="6"/>
      <c r="E248" s="6"/>
      <c r="F248" s="6"/>
      <c r="G248" s="6"/>
      <c r="H248" s="235">
        <v>5.2458</v>
      </c>
      <c r="I248" s="235">
        <v>5.2537000000000003</v>
      </c>
      <c r="J248" s="6"/>
      <c r="K248" s="6"/>
      <c r="L248" s="6"/>
      <c r="M248" s="6"/>
      <c r="N248" s="6"/>
      <c r="O248" s="6"/>
      <c r="P248" s="6"/>
      <c r="Q248" s="6"/>
      <c r="R248" s="6"/>
      <c r="S248" s="6"/>
      <c r="T248" s="6"/>
      <c r="U248" s="6"/>
      <c r="V248" s="6"/>
      <c r="W248" s="6"/>
      <c r="X248" s="6"/>
      <c r="Y248" s="6"/>
      <c r="Z248" s="6"/>
      <c r="AA248" s="6"/>
      <c r="AB248" s="6"/>
      <c r="AC248" s="6"/>
      <c r="AD248" s="6"/>
      <c r="AE248" s="6"/>
      <c r="AJ248" s="143">
        <v>5.2537000000000003</v>
      </c>
    </row>
    <row r="249" spans="1:36" x14ac:dyDescent="0.25">
      <c r="A249" s="6" t="s">
        <v>594</v>
      </c>
      <c r="B249" s="6"/>
      <c r="C249" s="6"/>
      <c r="D249" s="6"/>
      <c r="E249" s="6"/>
      <c r="F249" s="6"/>
      <c r="G249" s="6"/>
      <c r="H249" s="235"/>
      <c r="I249" s="235">
        <v>19.698599999999999</v>
      </c>
      <c r="J249" s="6"/>
      <c r="K249" s="6"/>
      <c r="L249" s="6"/>
      <c r="M249" s="6"/>
      <c r="N249" s="6"/>
      <c r="O249" s="6"/>
      <c r="P249" s="6"/>
      <c r="Q249" s="6"/>
      <c r="R249" s="6"/>
      <c r="S249" s="6"/>
      <c r="T249" s="6"/>
      <c r="U249" s="6"/>
      <c r="V249" s="6"/>
      <c r="W249" s="6"/>
      <c r="X249" s="6"/>
      <c r="Y249" s="6"/>
      <c r="Z249" s="6"/>
      <c r="AA249" s="6"/>
      <c r="AB249" s="6"/>
      <c r="AC249" s="6"/>
      <c r="AD249" s="6"/>
      <c r="AE249" s="6"/>
      <c r="AJ249" s="143">
        <v>19.698599999999999</v>
      </c>
    </row>
    <row r="250" spans="1:36"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J250" s="10"/>
    </row>
    <row r="251" spans="1:36"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J251" s="10"/>
    </row>
    <row r="252" spans="1:36" x14ac:dyDescent="0.25">
      <c r="A252" s="20" t="s">
        <v>580</v>
      </c>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J252" s="10"/>
    </row>
    <row r="253" spans="1:36" x14ac:dyDescent="0.25">
      <c r="A253" s="257" t="s">
        <v>581</v>
      </c>
      <c r="B253" s="6"/>
      <c r="C253" s="6"/>
      <c r="D253" s="6"/>
      <c r="E253" s="6"/>
      <c r="F253" s="6"/>
      <c r="G253" s="6"/>
      <c r="H253" s="6"/>
      <c r="I253" s="15">
        <f>I236/H236-1</f>
        <v>0.20255226717349983</v>
      </c>
      <c r="J253" s="6"/>
      <c r="K253" s="6"/>
      <c r="L253" s="6"/>
      <c r="M253" s="6"/>
      <c r="N253" s="6"/>
      <c r="O253" s="6"/>
      <c r="P253" s="6"/>
      <c r="Q253" s="6"/>
      <c r="R253" s="6"/>
      <c r="S253" s="6"/>
      <c r="T253" s="6"/>
      <c r="U253" s="6"/>
      <c r="V253" s="6"/>
      <c r="W253" s="6"/>
      <c r="X253" s="6"/>
      <c r="Y253" s="6"/>
      <c r="Z253" s="6"/>
      <c r="AA253" s="6"/>
      <c r="AB253" s="6"/>
      <c r="AC253" s="6"/>
      <c r="AD253" s="6"/>
      <c r="AE253" s="6"/>
      <c r="AJ253" s="133">
        <v>0.20255226717349983</v>
      </c>
    </row>
    <row r="254" spans="1:36" x14ac:dyDescent="0.25">
      <c r="A254" s="257" t="s">
        <v>582</v>
      </c>
      <c r="B254" s="6"/>
      <c r="C254" s="6"/>
      <c r="D254" s="6"/>
      <c r="E254" s="6"/>
      <c r="F254" s="6"/>
      <c r="G254" s="6"/>
      <c r="H254" s="6"/>
      <c r="I254" s="15">
        <f t="shared" ref="I254:I265" si="72">I237/H237-1</f>
        <v>4.231575215604555E-2</v>
      </c>
      <c r="J254" s="6"/>
      <c r="K254" s="6"/>
      <c r="L254" s="6"/>
      <c r="M254" s="6"/>
      <c r="N254" s="6"/>
      <c r="O254" s="6"/>
      <c r="P254" s="6"/>
      <c r="Q254" s="6"/>
      <c r="R254" s="6"/>
      <c r="S254" s="6"/>
      <c r="T254" s="6"/>
      <c r="U254" s="6"/>
      <c r="V254" s="6"/>
      <c r="W254" s="6"/>
      <c r="X254" s="6"/>
      <c r="Y254" s="6"/>
      <c r="Z254" s="6"/>
      <c r="AA254" s="6"/>
      <c r="AB254" s="6"/>
      <c r="AC254" s="6"/>
      <c r="AD254" s="6"/>
      <c r="AE254" s="6"/>
      <c r="AJ254" s="133">
        <v>4.231575215604555E-2</v>
      </c>
    </row>
    <row r="255" spans="1:36" x14ac:dyDescent="0.25">
      <c r="A255" s="257" t="s">
        <v>583</v>
      </c>
      <c r="B255" s="6"/>
      <c r="C255" s="6"/>
      <c r="D255" s="6"/>
      <c r="E255" s="6"/>
      <c r="F255" s="6"/>
      <c r="G255" s="6"/>
      <c r="H255" s="6"/>
      <c r="I255" s="15">
        <f t="shared" si="72"/>
        <v>-2.1268674993877079E-2</v>
      </c>
      <c r="J255" s="6"/>
      <c r="K255" s="6"/>
      <c r="L255" s="6"/>
      <c r="M255" s="6"/>
      <c r="N255" s="6"/>
      <c r="O255" s="6"/>
      <c r="P255" s="6"/>
      <c r="Q255" s="6"/>
      <c r="R255" s="6"/>
      <c r="S255" s="6"/>
      <c r="T255" s="6"/>
      <c r="U255" s="6"/>
      <c r="V255" s="6"/>
      <c r="W255" s="6"/>
      <c r="X255" s="6"/>
      <c r="Y255" s="6"/>
      <c r="Z255" s="6"/>
      <c r="AA255" s="6"/>
      <c r="AB255" s="6"/>
      <c r="AC255" s="6"/>
      <c r="AD255" s="6"/>
      <c r="AE255" s="6"/>
      <c r="AJ255" s="133">
        <v>-2.1268674993877079E-2</v>
      </c>
    </row>
    <row r="256" spans="1:36" x14ac:dyDescent="0.25">
      <c r="A256" s="258" t="s">
        <v>584</v>
      </c>
      <c r="B256" s="6"/>
      <c r="C256" s="6"/>
      <c r="D256" s="6"/>
      <c r="E256" s="6"/>
      <c r="F256" s="6"/>
      <c r="G256" s="6"/>
      <c r="H256" s="6"/>
      <c r="I256" s="15">
        <f t="shared" si="72"/>
        <v>-7.5954100827689941E-2</v>
      </c>
      <c r="J256" s="6"/>
      <c r="K256" s="6"/>
      <c r="L256" s="6"/>
      <c r="M256" s="6"/>
      <c r="N256" s="6"/>
      <c r="O256" s="6"/>
      <c r="P256" s="6"/>
      <c r="Q256" s="6"/>
      <c r="R256" s="6"/>
      <c r="S256" s="6"/>
      <c r="T256" s="6"/>
      <c r="U256" s="6"/>
      <c r="V256" s="6"/>
      <c r="W256" s="6"/>
      <c r="X256" s="6"/>
      <c r="Y256" s="6"/>
      <c r="Z256" s="6"/>
      <c r="AA256" s="6"/>
      <c r="AB256" s="6"/>
      <c r="AC256" s="6"/>
      <c r="AD256" s="6"/>
      <c r="AE256" s="6"/>
      <c r="AJ256" s="133">
        <v>-7.5954100827689941E-2</v>
      </c>
    </row>
    <row r="257" spans="1:36" x14ac:dyDescent="0.25">
      <c r="A257" s="258" t="s">
        <v>589</v>
      </c>
      <c r="B257" s="6"/>
      <c r="C257" s="6"/>
      <c r="D257" s="6"/>
      <c r="E257" s="6"/>
      <c r="F257" s="6"/>
      <c r="G257" s="6"/>
      <c r="H257" s="6"/>
      <c r="I257" s="15">
        <f t="shared" si="72"/>
        <v>0</v>
      </c>
      <c r="J257" s="6"/>
      <c r="K257" s="6"/>
      <c r="L257" s="6"/>
      <c r="M257" s="6"/>
      <c r="N257" s="6"/>
      <c r="O257" s="6"/>
      <c r="P257" s="6"/>
      <c r="Q257" s="6"/>
      <c r="R257" s="6"/>
      <c r="S257" s="6"/>
      <c r="T257" s="6"/>
      <c r="U257" s="6"/>
      <c r="V257" s="6"/>
      <c r="W257" s="6"/>
      <c r="X257" s="6"/>
      <c r="Y257" s="6"/>
      <c r="Z257" s="6"/>
      <c r="AA257" s="6"/>
      <c r="AB257" s="6"/>
      <c r="AC257" s="6"/>
      <c r="AD257" s="6"/>
      <c r="AE257" s="6"/>
      <c r="AJ257" s="133">
        <v>0</v>
      </c>
    </row>
    <row r="258" spans="1:36" x14ac:dyDescent="0.25">
      <c r="A258" s="258" t="s">
        <v>585</v>
      </c>
      <c r="B258" s="6"/>
      <c r="C258" s="6"/>
      <c r="D258" s="6"/>
      <c r="E258" s="6"/>
      <c r="F258" s="6"/>
      <c r="G258" s="6"/>
      <c r="H258" s="6"/>
      <c r="I258" s="15">
        <f t="shared" si="72"/>
        <v>1.1834014412231086E-2</v>
      </c>
      <c r="J258" s="6"/>
      <c r="K258" s="6"/>
      <c r="L258" s="6"/>
      <c r="M258" s="6"/>
      <c r="N258" s="6"/>
      <c r="O258" s="6"/>
      <c r="P258" s="6"/>
      <c r="Q258" s="6"/>
      <c r="R258" s="6"/>
      <c r="S258" s="6"/>
      <c r="T258" s="6"/>
      <c r="U258" s="6"/>
      <c r="V258" s="6"/>
      <c r="W258" s="6"/>
      <c r="X258" s="6"/>
      <c r="Y258" s="6"/>
      <c r="Z258" s="6"/>
      <c r="AA258" s="6"/>
      <c r="AB258" s="6"/>
      <c r="AC258" s="6"/>
      <c r="AD258" s="6"/>
      <c r="AE258" s="6"/>
      <c r="AJ258" s="133">
        <v>1.1834014412231086E-2</v>
      </c>
    </row>
    <row r="259" spans="1:36" x14ac:dyDescent="0.25">
      <c r="A259" s="258" t="s">
        <v>586</v>
      </c>
      <c r="B259" s="6"/>
      <c r="C259" s="6"/>
      <c r="D259" s="6"/>
      <c r="E259" s="6"/>
      <c r="F259" s="6"/>
      <c r="G259" s="6"/>
      <c r="H259" s="6"/>
      <c r="I259" s="15">
        <f t="shared" si="72"/>
        <v>4.9883632662932609E-3</v>
      </c>
      <c r="J259" s="6"/>
      <c r="K259" s="6"/>
      <c r="L259" s="6"/>
      <c r="M259" s="6"/>
      <c r="N259" s="6"/>
      <c r="O259" s="6"/>
      <c r="P259" s="6"/>
      <c r="Q259" s="6"/>
      <c r="R259" s="6"/>
      <c r="S259" s="6"/>
      <c r="T259" s="6"/>
      <c r="U259" s="6"/>
      <c r="V259" s="6"/>
      <c r="W259" s="6"/>
      <c r="X259" s="6"/>
      <c r="Y259" s="6"/>
      <c r="Z259" s="6"/>
      <c r="AA259" s="6"/>
      <c r="AB259" s="6"/>
      <c r="AC259" s="6"/>
      <c r="AD259" s="6"/>
      <c r="AE259" s="6"/>
      <c r="AJ259" s="133">
        <v>4.9883632662932609E-3</v>
      </c>
    </row>
    <row r="260" spans="1:36" x14ac:dyDescent="0.25">
      <c r="A260" s="258" t="s">
        <v>587</v>
      </c>
      <c r="B260" s="6"/>
      <c r="C260" s="6"/>
      <c r="D260" s="6"/>
      <c r="E260" s="6"/>
      <c r="F260" s="6"/>
      <c r="G260" s="6"/>
      <c r="H260" s="6"/>
      <c r="I260" s="15">
        <f t="shared" si="72"/>
        <v>5.7854393685954353E-3</v>
      </c>
      <c r="J260" s="6"/>
      <c r="K260" s="6"/>
      <c r="L260" s="6"/>
      <c r="M260" s="6"/>
      <c r="N260" s="6"/>
      <c r="O260" s="6"/>
      <c r="P260" s="6"/>
      <c r="Q260" s="6"/>
      <c r="R260" s="6"/>
      <c r="S260" s="6"/>
      <c r="T260" s="6"/>
      <c r="U260" s="6"/>
      <c r="V260" s="6"/>
      <c r="W260" s="6"/>
      <c r="X260" s="6"/>
      <c r="Y260" s="6"/>
      <c r="Z260" s="6"/>
      <c r="AA260" s="6"/>
      <c r="AB260" s="6"/>
      <c r="AC260" s="6"/>
      <c r="AD260" s="6"/>
      <c r="AE260" s="6"/>
      <c r="AJ260" s="133">
        <v>5.7854393685954353E-3</v>
      </c>
    </row>
    <row r="261" spans="1:36" x14ac:dyDescent="0.25">
      <c r="A261" s="258" t="s">
        <v>588</v>
      </c>
      <c r="B261" s="6"/>
      <c r="C261" s="6"/>
      <c r="D261" s="6"/>
      <c r="E261" s="6"/>
      <c r="F261" s="6"/>
      <c r="G261" s="6"/>
      <c r="H261" s="6"/>
      <c r="I261" s="15">
        <f t="shared" si="72"/>
        <v>0</v>
      </c>
      <c r="J261" s="6"/>
      <c r="K261" s="6"/>
      <c r="L261" s="6"/>
      <c r="M261" s="6"/>
      <c r="N261" s="6"/>
      <c r="O261" s="6"/>
      <c r="P261" s="6"/>
      <c r="Q261" s="6"/>
      <c r="R261" s="6"/>
      <c r="S261" s="6"/>
      <c r="T261" s="6"/>
      <c r="U261" s="6"/>
      <c r="V261" s="6"/>
      <c r="W261" s="6"/>
      <c r="X261" s="6"/>
      <c r="Y261" s="6"/>
      <c r="Z261" s="6"/>
      <c r="AA261" s="6"/>
      <c r="AB261" s="6"/>
      <c r="AC261" s="6"/>
      <c r="AD261" s="6"/>
      <c r="AE261" s="6"/>
      <c r="AJ261" s="133">
        <v>0</v>
      </c>
    </row>
    <row r="262" spans="1:36" x14ac:dyDescent="0.25">
      <c r="A262" s="258" t="s">
        <v>590</v>
      </c>
      <c r="B262" s="6"/>
      <c r="C262" s="6"/>
      <c r="D262" s="6"/>
      <c r="E262" s="6"/>
      <c r="F262" s="6"/>
      <c r="G262" s="6"/>
      <c r="H262" s="6"/>
      <c r="I262" s="15">
        <f t="shared" si="72"/>
        <v>0</v>
      </c>
      <c r="J262" s="6"/>
      <c r="K262" s="6"/>
      <c r="L262" s="6"/>
      <c r="M262" s="6"/>
      <c r="N262" s="6"/>
      <c r="O262" s="6"/>
      <c r="P262" s="6"/>
      <c r="Q262" s="6"/>
      <c r="R262" s="6"/>
      <c r="S262" s="6"/>
      <c r="T262" s="6"/>
      <c r="U262" s="6"/>
      <c r="V262" s="6"/>
      <c r="W262" s="6"/>
      <c r="X262" s="6"/>
      <c r="Y262" s="6"/>
      <c r="Z262" s="6"/>
      <c r="AA262" s="6"/>
      <c r="AB262" s="6"/>
      <c r="AC262" s="6"/>
      <c r="AD262" s="6"/>
      <c r="AE262" s="6"/>
      <c r="AJ262" s="133">
        <v>0</v>
      </c>
    </row>
    <row r="263" spans="1:36" x14ac:dyDescent="0.25">
      <c r="A263" s="259" t="s">
        <v>591</v>
      </c>
      <c r="B263" s="6"/>
      <c r="C263" s="6"/>
      <c r="D263" s="6"/>
      <c r="E263" s="6"/>
      <c r="F263" s="6"/>
      <c r="G263" s="6"/>
      <c r="H263" s="6"/>
      <c r="I263" s="15">
        <f t="shared" si="72"/>
        <v>0</v>
      </c>
      <c r="J263" s="6"/>
      <c r="K263" s="6"/>
      <c r="L263" s="6"/>
      <c r="M263" s="6"/>
      <c r="N263" s="6"/>
      <c r="O263" s="6"/>
      <c r="P263" s="6"/>
      <c r="Q263" s="6"/>
      <c r="R263" s="6"/>
      <c r="S263" s="6"/>
      <c r="T263" s="6"/>
      <c r="U263" s="6"/>
      <c r="V263" s="6"/>
      <c r="W263" s="6"/>
      <c r="X263" s="6"/>
      <c r="Y263" s="6"/>
      <c r="Z263" s="6"/>
      <c r="AA263" s="6"/>
      <c r="AB263" s="6"/>
      <c r="AC263" s="6"/>
      <c r="AD263" s="6"/>
      <c r="AE263" s="6"/>
      <c r="AJ263" s="133">
        <v>0</v>
      </c>
    </row>
    <row r="264" spans="1:36" x14ac:dyDescent="0.25">
      <c r="A264" s="259" t="s">
        <v>592</v>
      </c>
      <c r="B264" s="6"/>
      <c r="C264" s="6"/>
      <c r="D264" s="6"/>
      <c r="E264" s="6"/>
      <c r="F264" s="6"/>
      <c r="G264" s="6"/>
      <c r="H264" s="6"/>
      <c r="I264" s="15">
        <f t="shared" si="72"/>
        <v>-1.0632674102134865E-2</v>
      </c>
      <c r="J264" s="6"/>
      <c r="K264" s="6"/>
      <c r="L264" s="6"/>
      <c r="M264" s="6"/>
      <c r="N264" s="6"/>
      <c r="O264" s="6"/>
      <c r="P264" s="6"/>
      <c r="Q264" s="6"/>
      <c r="R264" s="6"/>
      <c r="S264" s="6"/>
      <c r="T264" s="6"/>
      <c r="U264" s="6"/>
      <c r="V264" s="6"/>
      <c r="W264" s="6"/>
      <c r="X264" s="6"/>
      <c r="Y264" s="6"/>
      <c r="Z264" s="6"/>
      <c r="AA264" s="6"/>
      <c r="AB264" s="6"/>
      <c r="AC264" s="6"/>
      <c r="AD264" s="6"/>
      <c r="AE264" s="6"/>
      <c r="AJ264" s="133">
        <v>-1.0632674102134865E-2</v>
      </c>
    </row>
    <row r="265" spans="1:36" x14ac:dyDescent="0.25">
      <c r="A265" s="6" t="s">
        <v>593</v>
      </c>
      <c r="B265" s="6"/>
      <c r="C265" s="6"/>
      <c r="D265" s="6"/>
      <c r="E265" s="6"/>
      <c r="F265" s="6"/>
      <c r="G265" s="6"/>
      <c r="H265" s="6"/>
      <c r="I265" s="15">
        <f t="shared" si="72"/>
        <v>1.5059666781045422E-3</v>
      </c>
      <c r="J265" s="6"/>
      <c r="K265" s="6"/>
      <c r="L265" s="6"/>
      <c r="M265" s="6"/>
      <c r="N265" s="6"/>
      <c r="O265" s="6"/>
      <c r="P265" s="6"/>
      <c r="Q265" s="6"/>
      <c r="R265" s="6"/>
      <c r="S265" s="6"/>
      <c r="T265" s="6"/>
      <c r="U265" s="6"/>
      <c r="V265" s="6"/>
      <c r="W265" s="6"/>
      <c r="X265" s="6"/>
      <c r="Y265" s="6"/>
      <c r="Z265" s="6"/>
      <c r="AA265" s="6"/>
      <c r="AB265" s="6"/>
      <c r="AC265" s="6"/>
      <c r="AD265" s="6"/>
      <c r="AE265" s="6"/>
      <c r="AJ265" s="133">
        <v>1.5059666781045422E-3</v>
      </c>
    </row>
    <row r="266" spans="1:36" x14ac:dyDescent="0.25">
      <c r="A266" s="6" t="s">
        <v>594</v>
      </c>
      <c r="B266" s="6"/>
      <c r="C266" s="6"/>
      <c r="D266" s="6"/>
      <c r="E266" s="6"/>
      <c r="F266" s="6"/>
      <c r="G266" s="6"/>
      <c r="H266" s="6"/>
      <c r="I266" s="21"/>
      <c r="J266" s="6"/>
      <c r="K266" s="6"/>
      <c r="L266" s="6"/>
      <c r="M266" s="6"/>
      <c r="N266" s="6"/>
      <c r="O266" s="6"/>
      <c r="P266" s="6"/>
      <c r="Q266" s="6"/>
      <c r="R266" s="6"/>
      <c r="S266" s="6"/>
      <c r="T266" s="6"/>
      <c r="U266" s="6"/>
      <c r="V266" s="6"/>
      <c r="W266" s="6"/>
      <c r="X266" s="6"/>
      <c r="Y266" s="6"/>
      <c r="Z266" s="6"/>
      <c r="AA266" s="6"/>
      <c r="AB266" s="6"/>
      <c r="AC266" s="6"/>
      <c r="AD266" s="6"/>
      <c r="AE266" s="6"/>
      <c r="AJ266" s="132"/>
    </row>
    <row r="267" spans="1:36" x14ac:dyDescent="0.25">
      <c r="A267" s="259" t="s">
        <v>598</v>
      </c>
      <c r="B267" s="6"/>
      <c r="C267" s="6"/>
      <c r="D267" s="6"/>
      <c r="E267" s="6"/>
      <c r="F267" s="6"/>
      <c r="G267" s="6"/>
      <c r="H267" s="6"/>
      <c r="I267" s="21"/>
      <c r="J267" s="6"/>
      <c r="K267" s="6"/>
      <c r="L267" s="6"/>
      <c r="M267" s="6"/>
      <c r="N267" s="6"/>
      <c r="O267" s="6"/>
      <c r="P267" s="6"/>
      <c r="Q267" s="6"/>
      <c r="R267" s="6"/>
      <c r="S267" s="6"/>
      <c r="T267" s="6"/>
      <c r="U267" s="6"/>
      <c r="V267" s="6"/>
      <c r="W267" s="6"/>
      <c r="X267" s="6"/>
      <c r="Y267" s="6"/>
      <c r="Z267" s="6"/>
      <c r="AA267" s="6"/>
      <c r="AB267" s="6"/>
      <c r="AC267" s="6"/>
      <c r="AD267" s="6"/>
      <c r="AE267" s="6"/>
      <c r="AJ267" s="132"/>
    </row>
    <row r="268" spans="1:36"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J268" s="10"/>
    </row>
    <row r="269" spans="1:36"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J269" s="10"/>
    </row>
    <row r="270" spans="1:36" x14ac:dyDescent="0.25">
      <c r="A270" s="20" t="s">
        <v>599</v>
      </c>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J270" s="10"/>
    </row>
    <row r="271" spans="1:36" x14ac:dyDescent="0.25">
      <c r="A271" s="39" t="s">
        <v>12</v>
      </c>
      <c r="B271" s="6"/>
      <c r="C271" s="6"/>
      <c r="D271" s="6"/>
      <c r="E271" s="6"/>
      <c r="F271" s="6"/>
      <c r="G271" s="6"/>
      <c r="H271" s="6"/>
      <c r="I271" s="15">
        <f>I265</f>
        <v>1.5059666781045422E-3</v>
      </c>
      <c r="J271" s="6"/>
      <c r="K271" s="6"/>
      <c r="L271" s="6"/>
      <c r="M271" s="6"/>
      <c r="N271" s="6"/>
      <c r="O271" s="6"/>
      <c r="P271" s="6"/>
      <c r="Q271" s="6"/>
      <c r="R271" s="6"/>
      <c r="S271" s="6"/>
      <c r="T271" s="6"/>
      <c r="U271" s="6"/>
      <c r="V271" s="6"/>
      <c r="W271" s="6"/>
      <c r="X271" s="6"/>
      <c r="Y271" s="6"/>
      <c r="Z271" s="6"/>
      <c r="AA271" s="6"/>
      <c r="AB271" s="6"/>
      <c r="AC271" s="6"/>
      <c r="AD271" s="6"/>
      <c r="AE271" s="6"/>
      <c r="AJ271" s="133">
        <v>1.5059666781045422E-3</v>
      </c>
    </row>
    <row r="272" spans="1:36" x14ac:dyDescent="0.25">
      <c r="A272" s="260" t="s">
        <v>560</v>
      </c>
      <c r="B272" s="6"/>
      <c r="C272" s="6"/>
      <c r="D272" s="6"/>
      <c r="E272" s="6"/>
      <c r="F272" s="6"/>
      <c r="G272" s="6"/>
      <c r="H272" s="6"/>
      <c r="I272" s="15">
        <f>AVERAGE(I256:I262)</f>
        <v>-7.6208976829385943E-3</v>
      </c>
      <c r="J272" s="6"/>
      <c r="K272" s="6"/>
      <c r="L272" s="6"/>
      <c r="M272" s="6"/>
      <c r="N272" s="6"/>
      <c r="O272" s="6"/>
      <c r="P272" s="6"/>
      <c r="Q272" s="6"/>
      <c r="R272" s="6"/>
      <c r="S272" s="6"/>
      <c r="T272" s="6"/>
      <c r="U272" s="6"/>
      <c r="V272" s="6"/>
      <c r="W272" s="6"/>
      <c r="X272" s="6"/>
      <c r="Y272" s="6"/>
      <c r="Z272" s="6"/>
      <c r="AA272" s="6"/>
      <c r="AB272" s="6"/>
      <c r="AC272" s="6"/>
      <c r="AD272" s="6"/>
      <c r="AE272" s="6"/>
      <c r="AJ272" s="133">
        <v>-7.6208976829385943E-3</v>
      </c>
    </row>
    <row r="273" spans="1:36" x14ac:dyDescent="0.25">
      <c r="A273" s="261" t="s">
        <v>561</v>
      </c>
      <c r="B273" s="6"/>
      <c r="C273" s="6"/>
      <c r="D273" s="6"/>
      <c r="E273" s="6"/>
      <c r="F273" s="6"/>
      <c r="G273" s="6"/>
      <c r="H273" s="6"/>
      <c r="I273" s="15">
        <f>AVERAGE(I253:I255)</f>
        <v>7.4533114778556106E-2</v>
      </c>
      <c r="J273" s="6"/>
      <c r="K273" s="6"/>
      <c r="L273" s="6"/>
      <c r="M273" s="6"/>
      <c r="N273" s="6"/>
      <c r="O273" s="6"/>
      <c r="P273" s="6"/>
      <c r="Q273" s="6"/>
      <c r="R273" s="6"/>
      <c r="S273" s="6"/>
      <c r="T273" s="6"/>
      <c r="U273" s="6"/>
      <c r="V273" s="6"/>
      <c r="W273" s="6"/>
      <c r="X273" s="6"/>
      <c r="Y273" s="6"/>
      <c r="Z273" s="6"/>
      <c r="AA273" s="6"/>
      <c r="AB273" s="6"/>
      <c r="AC273" s="6"/>
      <c r="AD273" s="6"/>
      <c r="AE273" s="6"/>
      <c r="AJ273" s="133">
        <v>7.4533114778556106E-2</v>
      </c>
    </row>
    <row r="274" spans="1:36" x14ac:dyDescent="0.25">
      <c r="A274" s="262" t="s">
        <v>562</v>
      </c>
      <c r="B274" s="6"/>
      <c r="C274" s="6"/>
      <c r="D274" s="6"/>
      <c r="E274" s="6"/>
      <c r="F274" s="6"/>
      <c r="G274" s="6"/>
      <c r="H274" s="6"/>
      <c r="I274" s="15">
        <f>-AVERAGE(I263:I264)</f>
        <v>5.3163370510674324E-3</v>
      </c>
      <c r="J274" s="6"/>
      <c r="K274" s="6"/>
      <c r="L274" s="6"/>
      <c r="M274" s="6"/>
      <c r="N274" s="6"/>
      <c r="O274" s="6"/>
      <c r="P274" s="6"/>
      <c r="Q274" s="6"/>
      <c r="R274" s="6"/>
      <c r="S274" s="6"/>
      <c r="T274" s="6"/>
      <c r="U274" s="6"/>
      <c r="V274" s="6"/>
      <c r="W274" s="6"/>
      <c r="X274" s="6"/>
      <c r="Y274" s="6"/>
      <c r="Z274" s="6"/>
      <c r="AA274" s="6"/>
      <c r="AB274" s="6"/>
      <c r="AC274" s="6"/>
      <c r="AD274" s="6"/>
      <c r="AE274" s="6"/>
      <c r="AJ274" s="133">
        <v>5.3163370510674324E-3</v>
      </c>
    </row>
    <row r="275" spans="1:36"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J275" s="10"/>
    </row>
    <row r="276" spans="1:36"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J276" s="10"/>
    </row>
    <row r="277" spans="1:36" x14ac:dyDescent="0.25">
      <c r="A277" s="20" t="s">
        <v>597</v>
      </c>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J277" s="10"/>
    </row>
    <row r="278" spans="1:36" x14ac:dyDescent="0.25">
      <c r="A278" s="39" t="s">
        <v>12</v>
      </c>
      <c r="B278" s="6"/>
      <c r="C278" s="6"/>
      <c r="D278" s="6"/>
      <c r="E278" s="6"/>
      <c r="F278" s="6"/>
      <c r="G278" s="6"/>
      <c r="H278" s="263">
        <f>I278</f>
        <v>0.46462004068927432</v>
      </c>
      <c r="I278" s="21">
        <f>I163/I57</f>
        <v>0.46462004068927432</v>
      </c>
      <c r="J278" s="6"/>
      <c r="K278" s="6"/>
      <c r="L278" s="6"/>
      <c r="M278" s="6"/>
      <c r="N278" s="6"/>
      <c r="O278" s="6"/>
      <c r="P278" s="6"/>
      <c r="Q278" s="6"/>
      <c r="R278" s="6"/>
      <c r="S278" s="6"/>
      <c r="T278" s="6"/>
      <c r="U278" s="6"/>
      <c r="V278" s="6"/>
      <c r="W278" s="6"/>
      <c r="X278" s="6"/>
      <c r="Y278" s="6"/>
      <c r="Z278" s="6"/>
      <c r="AA278" s="6"/>
      <c r="AB278" s="6"/>
      <c r="AC278" s="6"/>
      <c r="AD278" s="6"/>
      <c r="AE278" s="6"/>
      <c r="AJ278" s="132">
        <v>0.46462004068927432</v>
      </c>
    </row>
    <row r="279" spans="1:36" x14ac:dyDescent="0.25">
      <c r="A279" s="260" t="s">
        <v>560</v>
      </c>
      <c r="B279" s="6"/>
      <c r="C279" s="6"/>
      <c r="D279" s="6"/>
      <c r="E279" s="6"/>
      <c r="F279" s="6"/>
      <c r="G279" s="6"/>
      <c r="H279" s="263">
        <f t="shared" ref="H279:H281" si="73">I279</f>
        <v>0.11596149993240171</v>
      </c>
      <c r="I279" s="21">
        <f>I177/I57</f>
        <v>0.11596149993240171</v>
      </c>
      <c r="J279" s="6"/>
      <c r="K279" s="6"/>
      <c r="L279" s="6"/>
      <c r="M279" s="6"/>
      <c r="N279" s="6"/>
      <c r="O279" s="6"/>
      <c r="P279" s="6"/>
      <c r="Q279" s="6"/>
      <c r="R279" s="6"/>
      <c r="S279" s="6"/>
      <c r="T279" s="6"/>
      <c r="U279" s="6"/>
      <c r="V279" s="6"/>
      <c r="W279" s="6"/>
      <c r="X279" s="6"/>
      <c r="Y279" s="6"/>
      <c r="Z279" s="6"/>
      <c r="AA279" s="6"/>
      <c r="AB279" s="6"/>
      <c r="AC279" s="6"/>
      <c r="AD279" s="6"/>
      <c r="AE279" s="6"/>
      <c r="AJ279" s="132">
        <v>0.11596149993240171</v>
      </c>
    </row>
    <row r="280" spans="1:36" x14ac:dyDescent="0.25">
      <c r="A280" s="261" t="s">
        <v>561</v>
      </c>
      <c r="B280" s="6"/>
      <c r="C280" s="6"/>
      <c r="D280" s="6"/>
      <c r="E280" s="6"/>
      <c r="F280" s="6"/>
      <c r="G280" s="6"/>
      <c r="H280" s="263">
        <f t="shared" si="73"/>
        <v>0.17661164873004831</v>
      </c>
      <c r="I280" s="21">
        <f>I191/I57</f>
        <v>0.17661164873004831</v>
      </c>
      <c r="J280" s="6"/>
      <c r="K280" s="6"/>
      <c r="L280" s="6"/>
      <c r="M280" s="6"/>
      <c r="N280" s="6"/>
      <c r="O280" s="6"/>
      <c r="P280" s="6"/>
      <c r="Q280" s="6"/>
      <c r="R280" s="6"/>
      <c r="S280" s="6"/>
      <c r="T280" s="6"/>
      <c r="U280" s="6"/>
      <c r="V280" s="6"/>
      <c r="W280" s="6"/>
      <c r="X280" s="6"/>
      <c r="Y280" s="6"/>
      <c r="Z280" s="6"/>
      <c r="AA280" s="6"/>
      <c r="AB280" s="6"/>
      <c r="AC280" s="6"/>
      <c r="AD280" s="6"/>
      <c r="AE280" s="6"/>
      <c r="AJ280" s="132">
        <v>0.1814982709501711</v>
      </c>
    </row>
    <row r="281" spans="1:36" x14ac:dyDescent="0.25">
      <c r="A281" s="262" t="s">
        <v>562</v>
      </c>
      <c r="B281" s="6"/>
      <c r="C281" s="6"/>
      <c r="D281" s="6"/>
      <c r="E281" s="6"/>
      <c r="F281" s="6"/>
      <c r="G281" s="6"/>
      <c r="H281" s="263">
        <f t="shared" si="73"/>
        <v>0.23812282036288057</v>
      </c>
      <c r="I281" s="21">
        <f>I205/I57</f>
        <v>0.23812282036288057</v>
      </c>
      <c r="J281" s="6"/>
      <c r="K281" s="6"/>
      <c r="L281" s="6"/>
      <c r="M281" s="6"/>
      <c r="N281" s="6"/>
      <c r="O281" s="6"/>
      <c r="P281" s="6"/>
      <c r="Q281" s="6"/>
      <c r="R281" s="6"/>
      <c r="S281" s="6"/>
      <c r="T281" s="6"/>
      <c r="U281" s="6"/>
      <c r="V281" s="6"/>
      <c r="W281" s="6"/>
      <c r="X281" s="6"/>
      <c r="Y281" s="6"/>
      <c r="Z281" s="6"/>
      <c r="AA281" s="6"/>
      <c r="AB281" s="6"/>
      <c r="AC281" s="6"/>
      <c r="AD281" s="6"/>
      <c r="AE281" s="6"/>
      <c r="AJ281" s="132">
        <v>0.23812282036288057</v>
      </c>
    </row>
    <row r="282" spans="1:36"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J282" s="10"/>
    </row>
    <row r="283" spans="1:36" x14ac:dyDescent="0.25">
      <c r="A283" s="20" t="s">
        <v>600</v>
      </c>
      <c r="B283" s="6"/>
      <c r="C283" s="6"/>
      <c r="D283" s="6"/>
      <c r="E283" s="6"/>
      <c r="F283" s="6"/>
      <c r="G283" s="6"/>
      <c r="H283" s="6"/>
      <c r="I283" s="264">
        <f>H278*I271+H279*I272+H280*I273+H281*I274</f>
        <v>1.4245329031739279E-2</v>
      </c>
      <c r="J283" s="6"/>
      <c r="K283" s="6"/>
      <c r="L283" s="6"/>
      <c r="M283" s="6"/>
      <c r="N283" s="6"/>
      <c r="O283" s="6"/>
      <c r="P283" s="6"/>
      <c r="Q283" s="6"/>
      <c r="R283" s="6"/>
      <c r="S283" s="6"/>
      <c r="T283" s="6"/>
      <c r="U283" s="6"/>
      <c r="V283" s="6"/>
      <c r="W283" s="6"/>
      <c r="X283" s="6"/>
      <c r="Y283" s="6"/>
      <c r="Z283" s="6"/>
      <c r="AA283" s="6"/>
      <c r="AB283" s="6"/>
      <c r="AC283" s="6"/>
      <c r="AD283" s="6"/>
      <c r="AE283" s="6"/>
      <c r="AJ283" s="151">
        <v>1.4609544206551132E-2</v>
      </c>
    </row>
    <row r="284" spans="1:36"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row>
    <row r="285" spans="1:36"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row>
    <row r="286" spans="1:36" x14ac:dyDescent="0.25">
      <c r="A286" s="20" t="s">
        <v>601</v>
      </c>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J286" s="10"/>
    </row>
    <row r="287" spans="1:36" x14ac:dyDescent="0.25">
      <c r="A287" s="39" t="s">
        <v>12</v>
      </c>
      <c r="B287" s="6"/>
      <c r="C287" s="6"/>
      <c r="D287" s="6"/>
      <c r="E287" s="6"/>
      <c r="F287" s="6"/>
      <c r="G287" s="6"/>
      <c r="H287" s="263">
        <f>I287</f>
        <v>0.45435645887280374</v>
      </c>
      <c r="I287" s="21">
        <f>I164/(I164+I178+I192+I206)</f>
        <v>0.45435645887280374</v>
      </c>
      <c r="J287" s="6"/>
      <c r="K287" s="6"/>
      <c r="L287" s="6"/>
      <c r="M287" s="6"/>
      <c r="N287" s="6"/>
      <c r="O287" s="6"/>
      <c r="P287" s="6"/>
      <c r="Q287" s="6"/>
      <c r="R287" s="6"/>
      <c r="S287" s="6"/>
      <c r="T287" s="6"/>
      <c r="U287" s="6"/>
      <c r="V287" s="6"/>
      <c r="W287" s="6"/>
      <c r="X287" s="6"/>
      <c r="Y287" s="6"/>
      <c r="Z287" s="6"/>
      <c r="AA287" s="6"/>
      <c r="AB287" s="6"/>
      <c r="AC287" s="6"/>
      <c r="AD287" s="6"/>
      <c r="AE287" s="6"/>
      <c r="AJ287" s="132">
        <v>0.45068501415710288</v>
      </c>
    </row>
    <row r="288" spans="1:36" x14ac:dyDescent="0.25">
      <c r="A288" s="260" t="s">
        <v>560</v>
      </c>
      <c r="B288" s="6"/>
      <c r="C288" s="6"/>
      <c r="D288" s="6"/>
      <c r="E288" s="6"/>
      <c r="F288" s="6"/>
      <c r="G288" s="6"/>
      <c r="H288" s="263">
        <f t="shared" ref="H288:H290" si="74">I288</f>
        <v>0.15846961297162024</v>
      </c>
      <c r="I288" s="21">
        <f>I178/(I164+I178+I192+I206)</f>
        <v>0.15846961297162024</v>
      </c>
      <c r="J288" s="6"/>
      <c r="K288" s="6"/>
      <c r="L288" s="6"/>
      <c r="M288" s="6"/>
      <c r="N288" s="6"/>
      <c r="O288" s="6"/>
      <c r="P288" s="6"/>
      <c r="Q288" s="6"/>
      <c r="R288" s="6"/>
      <c r="S288" s="6"/>
      <c r="T288" s="6"/>
      <c r="U288" s="6"/>
      <c r="V288" s="6"/>
      <c r="W288" s="6"/>
      <c r="X288" s="6"/>
      <c r="Y288" s="6"/>
      <c r="Z288" s="6"/>
      <c r="AA288" s="6"/>
      <c r="AB288" s="6"/>
      <c r="AC288" s="6"/>
      <c r="AD288" s="6"/>
      <c r="AE288" s="6"/>
      <c r="AJ288" s="132">
        <v>0.15718909321277888</v>
      </c>
    </row>
    <row r="289" spans="1:36" x14ac:dyDescent="0.25">
      <c r="A289" s="261" t="s">
        <v>561</v>
      </c>
      <c r="B289" s="6"/>
      <c r="C289" s="6"/>
      <c r="D289" s="6"/>
      <c r="E289" s="6"/>
      <c r="F289" s="6"/>
      <c r="G289" s="6"/>
      <c r="H289" s="263">
        <f t="shared" si="74"/>
        <v>0.14289810743643663</v>
      </c>
      <c r="I289" s="21">
        <f>I192/(I164+I178+I192+I206)</f>
        <v>0.14289810743643663</v>
      </c>
      <c r="J289" s="6"/>
      <c r="K289" s="6"/>
      <c r="L289" s="6"/>
      <c r="M289" s="6"/>
      <c r="N289" s="6"/>
      <c r="O289" s="6"/>
      <c r="P289" s="6"/>
      <c r="Q289" s="6"/>
      <c r="R289" s="6"/>
      <c r="S289" s="6"/>
      <c r="T289" s="6"/>
      <c r="U289" s="6"/>
      <c r="V289" s="6"/>
      <c r="W289" s="6"/>
      <c r="X289" s="6"/>
      <c r="Y289" s="6"/>
      <c r="Z289" s="6"/>
      <c r="AA289" s="6"/>
      <c r="AB289" s="6"/>
      <c r="AC289" s="6"/>
      <c r="AD289" s="6"/>
      <c r="AE289" s="6"/>
      <c r="AJ289" s="132">
        <v>0.14982395200806761</v>
      </c>
    </row>
    <row r="290" spans="1:36" x14ac:dyDescent="0.25">
      <c r="A290" s="262" t="s">
        <v>562</v>
      </c>
      <c r="B290" s="6"/>
      <c r="C290" s="6"/>
      <c r="D290" s="6"/>
      <c r="E290" s="6"/>
      <c r="F290" s="6"/>
      <c r="G290" s="6"/>
      <c r="H290" s="263">
        <f t="shared" si="74"/>
        <v>0.24427582071913942</v>
      </c>
      <c r="I290" s="21">
        <f>I206/(I164+I178+I192+I206)</f>
        <v>0.24427582071913942</v>
      </c>
      <c r="J290" s="6"/>
      <c r="K290" s="6"/>
      <c r="L290" s="6"/>
      <c r="M290" s="6"/>
      <c r="N290" s="6"/>
      <c r="O290" s="6"/>
      <c r="P290" s="6"/>
      <c r="Q290" s="6"/>
      <c r="R290" s="6"/>
      <c r="S290" s="6"/>
      <c r="T290" s="6"/>
      <c r="U290" s="6"/>
      <c r="V290" s="6"/>
      <c r="W290" s="6"/>
      <c r="X290" s="6"/>
      <c r="Y290" s="6"/>
      <c r="Z290" s="6"/>
      <c r="AA290" s="6"/>
      <c r="AB290" s="6"/>
      <c r="AC290" s="6"/>
      <c r="AD290" s="6"/>
      <c r="AE290" s="6"/>
      <c r="AJ290" s="132">
        <v>0.24230194062205063</v>
      </c>
    </row>
    <row r="291" spans="1:36"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J291" s="10"/>
    </row>
    <row r="292" spans="1:36" x14ac:dyDescent="0.25">
      <c r="A292" s="20" t="s">
        <v>600</v>
      </c>
      <c r="B292" s="6"/>
      <c r="C292" s="6"/>
      <c r="D292" s="6"/>
      <c r="E292" s="6"/>
      <c r="F292" s="6"/>
      <c r="G292" s="6"/>
      <c r="H292" s="6"/>
      <c r="I292" s="264">
        <f>H287*I271+H288*I272+H289*I273+H290*I274</f>
        <v>1.1425858620299861E-2</v>
      </c>
      <c r="J292" s="6"/>
      <c r="K292" s="6"/>
      <c r="L292" s="6"/>
      <c r="M292" s="6"/>
      <c r="N292" s="6"/>
      <c r="O292" s="6"/>
      <c r="P292" s="6"/>
      <c r="Q292" s="6"/>
      <c r="R292" s="6"/>
      <c r="S292" s="6"/>
      <c r="T292" s="6"/>
      <c r="U292" s="6"/>
      <c r="V292" s="6"/>
      <c r="W292" s="6"/>
      <c r="X292" s="6"/>
      <c r="Y292" s="6"/>
      <c r="Z292" s="6"/>
      <c r="AA292" s="6"/>
      <c r="AB292" s="6"/>
      <c r="AC292" s="6"/>
      <c r="AD292" s="6"/>
      <c r="AE292" s="6"/>
      <c r="AJ292" s="151">
        <v>1.1935799213461919E-2</v>
      </c>
    </row>
    <row r="293" spans="1:36"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row>
    <row r="294" spans="1:36"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J294" s="10"/>
    </row>
    <row r="295" spans="1:36"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J295" s="10"/>
    </row>
    <row r="296" spans="1:36" x14ac:dyDescent="0.25">
      <c r="A296" s="20" t="s">
        <v>596</v>
      </c>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J296" s="10"/>
    </row>
    <row r="297" spans="1:36" x14ac:dyDescent="0.25">
      <c r="A297" s="6" t="s">
        <v>581</v>
      </c>
      <c r="B297" s="6"/>
      <c r="C297" s="6"/>
      <c r="D297" s="6"/>
      <c r="E297" s="6"/>
      <c r="F297" s="6"/>
      <c r="G297" s="6"/>
      <c r="H297" s="6"/>
      <c r="I297" s="240">
        <v>0.1096</v>
      </c>
      <c r="J297" s="6"/>
      <c r="K297" s="6"/>
      <c r="L297" s="6"/>
      <c r="M297" s="6"/>
      <c r="N297" s="6"/>
      <c r="O297" s="6"/>
      <c r="P297" s="6"/>
      <c r="Q297" s="6"/>
      <c r="R297" s="6"/>
      <c r="S297" s="6"/>
      <c r="T297" s="6"/>
      <c r="U297" s="6"/>
      <c r="V297" s="6"/>
      <c r="W297" s="6"/>
      <c r="X297" s="6"/>
      <c r="Y297" s="6"/>
      <c r="Z297" s="6"/>
      <c r="AA297" s="6"/>
      <c r="AB297" s="6"/>
      <c r="AC297" s="6"/>
      <c r="AD297" s="6"/>
      <c r="AE297" s="6"/>
      <c r="AJ297" s="145">
        <v>0.1096</v>
      </c>
    </row>
    <row r="298" spans="1:36" x14ac:dyDescent="0.25">
      <c r="A298" s="6" t="s">
        <v>582</v>
      </c>
      <c r="B298" s="6"/>
      <c r="C298" s="6"/>
      <c r="D298" s="6"/>
      <c r="E298" s="6"/>
      <c r="F298" s="6"/>
      <c r="G298" s="6"/>
      <c r="H298" s="6"/>
      <c r="I298" s="240">
        <v>2.7000000000000001E-3</v>
      </c>
      <c r="J298" s="6"/>
      <c r="K298" s="6"/>
      <c r="L298" s="6"/>
      <c r="M298" s="6"/>
      <c r="N298" s="6"/>
      <c r="O298" s="6"/>
      <c r="P298" s="6"/>
      <c r="Q298" s="6"/>
      <c r="R298" s="6"/>
      <c r="S298" s="6"/>
      <c r="T298" s="6"/>
      <c r="U298" s="6"/>
      <c r="V298" s="6"/>
      <c r="W298" s="6"/>
      <c r="X298" s="6"/>
      <c r="Y298" s="6"/>
      <c r="Z298" s="6"/>
      <c r="AA298" s="6"/>
      <c r="AB298" s="6"/>
      <c r="AC298" s="6"/>
      <c r="AD298" s="6"/>
      <c r="AE298" s="6"/>
      <c r="AJ298" s="145">
        <v>2.7000000000000001E-3</v>
      </c>
    </row>
    <row r="299" spans="1:36" x14ac:dyDescent="0.25">
      <c r="A299" s="6" t="s">
        <v>583</v>
      </c>
      <c r="B299" s="6"/>
      <c r="C299" s="6"/>
      <c r="D299" s="6"/>
      <c r="E299" s="6"/>
      <c r="F299" s="6"/>
      <c r="G299" s="6"/>
      <c r="H299" s="6"/>
      <c r="I299" s="240">
        <v>0.49309999999999998</v>
      </c>
      <c r="J299" s="6"/>
      <c r="K299" s="6"/>
      <c r="L299" s="6"/>
      <c r="M299" s="6"/>
      <c r="N299" s="6"/>
      <c r="O299" s="6"/>
      <c r="P299" s="6"/>
      <c r="Q299" s="6"/>
      <c r="R299" s="6"/>
      <c r="S299" s="6"/>
      <c r="T299" s="6"/>
      <c r="U299" s="6"/>
      <c r="V299" s="6"/>
      <c r="W299" s="6"/>
      <c r="X299" s="6"/>
      <c r="Y299" s="6"/>
      <c r="Z299" s="6"/>
      <c r="AA299" s="6"/>
      <c r="AB299" s="6"/>
      <c r="AC299" s="6"/>
      <c r="AD299" s="6"/>
      <c r="AE299" s="6"/>
      <c r="AJ299" s="145">
        <v>0.49309999999999998</v>
      </c>
    </row>
    <row r="300" spans="1:36" x14ac:dyDescent="0.25">
      <c r="A300" s="6" t="s">
        <v>584</v>
      </c>
      <c r="B300" s="6"/>
      <c r="C300" s="6"/>
      <c r="D300" s="6"/>
      <c r="E300" s="6"/>
      <c r="F300" s="6"/>
      <c r="G300" s="6"/>
      <c r="H300" s="6"/>
      <c r="I300" s="240">
        <v>3.2099999999999997E-2</v>
      </c>
      <c r="J300" s="6"/>
      <c r="K300" s="6"/>
      <c r="L300" s="6"/>
      <c r="M300" s="6"/>
      <c r="N300" s="6"/>
      <c r="O300" s="6"/>
      <c r="P300" s="6"/>
      <c r="Q300" s="6"/>
      <c r="R300" s="6"/>
      <c r="S300" s="6"/>
      <c r="T300" s="6"/>
      <c r="U300" s="6"/>
      <c r="V300" s="6"/>
      <c r="W300" s="6"/>
      <c r="X300" s="6"/>
      <c r="Y300" s="6"/>
      <c r="Z300" s="6"/>
      <c r="AA300" s="6"/>
      <c r="AB300" s="6"/>
      <c r="AC300" s="6"/>
      <c r="AD300" s="6"/>
      <c r="AE300" s="6"/>
      <c r="AJ300" s="145">
        <v>3.2099999999999997E-2</v>
      </c>
    </row>
    <row r="301" spans="1:36" x14ac:dyDescent="0.25">
      <c r="A301" s="6" t="s">
        <v>589</v>
      </c>
      <c r="B301" s="6"/>
      <c r="C301" s="6"/>
      <c r="D301" s="6"/>
      <c r="E301" s="6"/>
      <c r="F301" s="6"/>
      <c r="G301" s="6"/>
      <c r="H301" s="6"/>
      <c r="I301" s="240">
        <v>19.698599999999999</v>
      </c>
      <c r="J301" s="6"/>
      <c r="K301" s="6"/>
      <c r="L301" s="6"/>
      <c r="M301" s="6"/>
      <c r="N301" s="6"/>
      <c r="O301" s="6"/>
      <c r="P301" s="6"/>
      <c r="Q301" s="6"/>
      <c r="R301" s="6"/>
      <c r="S301" s="6"/>
      <c r="T301" s="6"/>
      <c r="U301" s="6"/>
      <c r="V301" s="6"/>
      <c r="W301" s="6"/>
      <c r="X301" s="6"/>
      <c r="Y301" s="6"/>
      <c r="Z301" s="6"/>
      <c r="AA301" s="6"/>
      <c r="AB301" s="6"/>
      <c r="AC301" s="6"/>
      <c r="AD301" s="6"/>
      <c r="AE301" s="6"/>
      <c r="AJ301" s="145">
        <v>19.698599999999999</v>
      </c>
    </row>
    <row r="302" spans="1:36" x14ac:dyDescent="0.25">
      <c r="A302" s="6" t="s">
        <v>585</v>
      </c>
      <c r="B302" s="6"/>
      <c r="C302" s="6"/>
      <c r="D302" s="6"/>
      <c r="E302" s="6"/>
      <c r="F302" s="6"/>
      <c r="G302" s="6"/>
      <c r="H302" s="6"/>
      <c r="I302" s="240">
        <v>2.5095999999999998</v>
      </c>
      <c r="J302" s="6"/>
      <c r="K302" s="6"/>
      <c r="L302" s="6"/>
      <c r="M302" s="6"/>
      <c r="N302" s="6"/>
      <c r="O302" s="6"/>
      <c r="P302" s="6"/>
      <c r="Q302" s="6"/>
      <c r="R302" s="6"/>
      <c r="S302" s="6"/>
      <c r="T302" s="6"/>
      <c r="U302" s="6"/>
      <c r="V302" s="6"/>
      <c r="W302" s="6"/>
      <c r="X302" s="6"/>
      <c r="Y302" s="6"/>
      <c r="Z302" s="6"/>
      <c r="AA302" s="6"/>
      <c r="AB302" s="6"/>
      <c r="AC302" s="6"/>
      <c r="AD302" s="6"/>
      <c r="AE302" s="6"/>
      <c r="AJ302" s="145">
        <v>2.5095999999999998</v>
      </c>
    </row>
    <row r="303" spans="1:36" x14ac:dyDescent="0.25">
      <c r="A303" s="6" t="s">
        <v>586</v>
      </c>
      <c r="B303" s="6"/>
      <c r="C303" s="6"/>
      <c r="D303" s="6"/>
      <c r="E303" s="6"/>
      <c r="F303" s="6"/>
      <c r="G303" s="6"/>
      <c r="H303" s="6"/>
      <c r="I303" s="240">
        <v>0.54500000000000004</v>
      </c>
      <c r="J303" s="6"/>
      <c r="K303" s="6"/>
      <c r="L303" s="6"/>
      <c r="M303" s="6"/>
      <c r="N303" s="6"/>
      <c r="O303" s="6"/>
      <c r="P303" s="6"/>
      <c r="Q303" s="6"/>
      <c r="R303" s="6"/>
      <c r="S303" s="6"/>
      <c r="T303" s="6"/>
      <c r="U303" s="6"/>
      <c r="V303" s="6"/>
      <c r="W303" s="6"/>
      <c r="X303" s="6"/>
      <c r="Y303" s="6"/>
      <c r="Z303" s="6"/>
      <c r="AA303" s="6"/>
      <c r="AB303" s="6"/>
      <c r="AC303" s="6"/>
      <c r="AD303" s="6"/>
      <c r="AE303" s="6"/>
      <c r="AJ303" s="145">
        <v>0.54500000000000004</v>
      </c>
    </row>
    <row r="304" spans="1:36" x14ac:dyDescent="0.25">
      <c r="A304" s="6" t="s">
        <v>587</v>
      </c>
      <c r="B304" s="6"/>
      <c r="C304" s="6"/>
      <c r="D304" s="6"/>
      <c r="E304" s="6"/>
      <c r="F304" s="6"/>
      <c r="G304" s="6"/>
      <c r="H304" s="6"/>
      <c r="I304" s="240">
        <v>0.79510000000000003</v>
      </c>
      <c r="J304" s="6"/>
      <c r="K304" s="6"/>
      <c r="L304" s="6"/>
      <c r="M304" s="6"/>
      <c r="N304" s="6"/>
      <c r="O304" s="6"/>
      <c r="P304" s="6"/>
      <c r="Q304" s="6"/>
      <c r="R304" s="6"/>
      <c r="S304" s="6"/>
      <c r="T304" s="6"/>
      <c r="U304" s="6"/>
      <c r="V304" s="6"/>
      <c r="W304" s="6"/>
      <c r="X304" s="6"/>
      <c r="Y304" s="6"/>
      <c r="Z304" s="6"/>
      <c r="AA304" s="6"/>
      <c r="AB304" s="6"/>
      <c r="AC304" s="6"/>
      <c r="AD304" s="6"/>
      <c r="AE304" s="6"/>
      <c r="AJ304" s="145">
        <v>0.79510000000000003</v>
      </c>
    </row>
    <row r="305" spans="1:36" x14ac:dyDescent="0.25">
      <c r="A305" s="6" t="s">
        <v>588</v>
      </c>
      <c r="B305" s="6"/>
      <c r="C305" s="6"/>
      <c r="D305" s="6"/>
      <c r="E305" s="6"/>
      <c r="F305" s="6"/>
      <c r="G305" s="6"/>
      <c r="H305" s="6"/>
      <c r="I305" s="240">
        <v>19.698599999999999</v>
      </c>
      <c r="J305" s="6"/>
      <c r="K305" s="6"/>
      <c r="L305" s="6"/>
      <c r="M305" s="6"/>
      <c r="N305" s="6"/>
      <c r="O305" s="6"/>
      <c r="P305" s="6"/>
      <c r="Q305" s="6"/>
      <c r="R305" s="6"/>
      <c r="S305" s="6"/>
      <c r="T305" s="6"/>
      <c r="U305" s="6"/>
      <c r="V305" s="6"/>
      <c r="W305" s="6"/>
      <c r="X305" s="6"/>
      <c r="Y305" s="6"/>
      <c r="Z305" s="6"/>
      <c r="AA305" s="6"/>
      <c r="AB305" s="6"/>
      <c r="AC305" s="6"/>
      <c r="AD305" s="6"/>
      <c r="AE305" s="6"/>
      <c r="AJ305" s="145">
        <v>19.698599999999999</v>
      </c>
    </row>
    <row r="306" spans="1:36" x14ac:dyDescent="0.25">
      <c r="A306" s="6" t="s">
        <v>590</v>
      </c>
      <c r="B306" s="6"/>
      <c r="C306" s="6"/>
      <c r="D306" s="6"/>
      <c r="E306" s="6"/>
      <c r="F306" s="6"/>
      <c r="G306" s="6"/>
      <c r="H306" s="6"/>
      <c r="I306" s="240">
        <v>19.698599999999999</v>
      </c>
      <c r="J306" s="6"/>
      <c r="K306" s="6"/>
      <c r="L306" s="6"/>
      <c r="M306" s="6"/>
      <c r="N306" s="6"/>
      <c r="O306" s="6"/>
      <c r="P306" s="6"/>
      <c r="Q306" s="6"/>
      <c r="R306" s="6"/>
      <c r="S306" s="6"/>
      <c r="T306" s="6"/>
      <c r="U306" s="6"/>
      <c r="V306" s="6"/>
      <c r="W306" s="6"/>
      <c r="X306" s="6"/>
      <c r="Y306" s="6"/>
      <c r="Z306" s="6"/>
      <c r="AA306" s="6"/>
      <c r="AB306" s="6"/>
      <c r="AC306" s="6"/>
      <c r="AD306" s="6"/>
      <c r="AE306" s="6"/>
      <c r="AJ306" s="145">
        <v>19.698599999999999</v>
      </c>
    </row>
    <row r="307" spans="1:36" x14ac:dyDescent="0.25">
      <c r="A307" s="6" t="s">
        <v>591</v>
      </c>
      <c r="B307" s="6"/>
      <c r="C307" s="6"/>
      <c r="D307" s="6"/>
      <c r="E307" s="6"/>
      <c r="F307" s="6"/>
      <c r="G307" s="6"/>
      <c r="H307" s="6"/>
      <c r="I307" s="240">
        <v>19.698599999999999</v>
      </c>
      <c r="J307" s="6"/>
      <c r="K307" s="6"/>
      <c r="L307" s="6"/>
      <c r="M307" s="6"/>
      <c r="N307" s="6"/>
      <c r="O307" s="6"/>
      <c r="P307" s="6"/>
      <c r="Q307" s="6"/>
      <c r="R307" s="6"/>
      <c r="S307" s="6"/>
      <c r="T307" s="6"/>
      <c r="U307" s="6"/>
      <c r="V307" s="6"/>
      <c r="W307" s="6"/>
      <c r="X307" s="6"/>
      <c r="Y307" s="6"/>
      <c r="Z307" s="6"/>
      <c r="AA307" s="6"/>
      <c r="AB307" s="6"/>
      <c r="AC307" s="6"/>
      <c r="AD307" s="6"/>
      <c r="AE307" s="6"/>
      <c r="AJ307" s="145">
        <v>19.698599999999999</v>
      </c>
    </row>
    <row r="308" spans="1:36" x14ac:dyDescent="0.25">
      <c r="A308" s="6" t="s">
        <v>592</v>
      </c>
      <c r="B308" s="6"/>
      <c r="C308" s="6"/>
      <c r="D308" s="6"/>
      <c r="E308" s="6"/>
      <c r="F308" s="6"/>
      <c r="G308" s="6"/>
      <c r="H308" s="6"/>
      <c r="I308" s="240">
        <v>2.1499999999999998E-2</v>
      </c>
      <c r="J308" s="6"/>
      <c r="K308" s="6"/>
      <c r="L308" s="6"/>
      <c r="M308" s="6"/>
      <c r="N308" s="6"/>
      <c r="O308" s="6"/>
      <c r="P308" s="6"/>
      <c r="Q308" s="6"/>
      <c r="R308" s="6"/>
      <c r="S308" s="6"/>
      <c r="T308" s="6"/>
      <c r="U308" s="6"/>
      <c r="V308" s="6"/>
      <c r="W308" s="6"/>
      <c r="X308" s="6"/>
      <c r="Y308" s="6"/>
      <c r="Z308" s="6"/>
      <c r="AA308" s="6"/>
      <c r="AB308" s="6"/>
      <c r="AC308" s="6"/>
      <c r="AD308" s="6"/>
      <c r="AE308" s="6"/>
      <c r="AJ308" s="145">
        <v>2.1499999999999998E-2</v>
      </c>
    </row>
    <row r="309" spans="1:36" x14ac:dyDescent="0.25">
      <c r="A309" s="6" t="s">
        <v>593</v>
      </c>
      <c r="B309" s="6"/>
      <c r="C309" s="6"/>
      <c r="D309" s="6"/>
      <c r="E309" s="6"/>
      <c r="F309" s="6"/>
      <c r="G309" s="6"/>
      <c r="H309" s="6"/>
      <c r="I309" s="240">
        <v>3.7505000000000002</v>
      </c>
      <c r="J309" s="6"/>
      <c r="K309" s="6"/>
      <c r="L309" s="6"/>
      <c r="M309" s="6"/>
      <c r="N309" s="6"/>
      <c r="O309" s="6"/>
      <c r="P309" s="6"/>
      <c r="Q309" s="6"/>
      <c r="R309" s="6"/>
      <c r="S309" s="6"/>
      <c r="T309" s="6"/>
      <c r="U309" s="6"/>
      <c r="V309" s="6"/>
      <c r="W309" s="6"/>
      <c r="X309" s="6"/>
      <c r="Y309" s="6"/>
      <c r="Z309" s="6"/>
      <c r="AA309" s="6"/>
      <c r="AB309" s="6"/>
      <c r="AC309" s="6"/>
      <c r="AD309" s="6"/>
      <c r="AE309" s="6"/>
      <c r="AJ309" s="145">
        <v>3.7505000000000002</v>
      </c>
    </row>
    <row r="310" spans="1:36" x14ac:dyDescent="0.25">
      <c r="A310" s="6" t="s">
        <v>594</v>
      </c>
      <c r="B310" s="6"/>
      <c r="C310" s="6"/>
      <c r="D310" s="6"/>
      <c r="E310" s="6"/>
      <c r="F310" s="6"/>
      <c r="G310" s="6"/>
      <c r="H310" s="6"/>
      <c r="I310" s="240">
        <v>1</v>
      </c>
      <c r="J310" s="6"/>
      <c r="K310" s="6"/>
      <c r="L310" s="6"/>
      <c r="M310" s="6"/>
      <c r="N310" s="6"/>
      <c r="O310" s="6"/>
      <c r="P310" s="6"/>
      <c r="Q310" s="6"/>
      <c r="R310" s="6"/>
      <c r="S310" s="6"/>
      <c r="T310" s="6"/>
      <c r="U310" s="6"/>
      <c r="V310" s="6"/>
      <c r="W310" s="6"/>
      <c r="X310" s="6"/>
      <c r="Y310" s="6"/>
      <c r="Z310" s="6"/>
      <c r="AA310" s="6"/>
      <c r="AB310" s="6"/>
      <c r="AC310" s="6"/>
      <c r="AD310" s="6"/>
      <c r="AE310" s="6"/>
      <c r="AJ310" s="145">
        <v>1</v>
      </c>
    </row>
    <row r="311" spans="1:36"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J311" s="10"/>
    </row>
    <row r="312" spans="1:36"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J312" s="10"/>
    </row>
    <row r="313" spans="1:36"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J313" s="10"/>
    </row>
    <row r="314" spans="1:36"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J314" s="10"/>
    </row>
    <row r="315" spans="1:36"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J315" s="10"/>
    </row>
    <row r="316" spans="1:36"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J316" s="10"/>
    </row>
    <row r="317" spans="1:36"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J317" s="10"/>
    </row>
    <row r="318" spans="1:36"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J318" s="10"/>
    </row>
    <row r="319" spans="1:36"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J319" s="10"/>
    </row>
    <row r="320" spans="1:36"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J320" s="10"/>
    </row>
    <row r="321" spans="1:36"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J321" s="10"/>
    </row>
    <row r="322" spans="1:36"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J322" s="10"/>
    </row>
    <row r="323" spans="1:36"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J323" s="10"/>
    </row>
    <row r="324" spans="1:36"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J324" s="10"/>
    </row>
    <row r="325" spans="1:36"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row>
    <row r="326" spans="1:36"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row>
    <row r="327" spans="1:36"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row>
    <row r="328" spans="1:36"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row>
    <row r="329" spans="1:36"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row>
    <row r="330" spans="1:36"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row>
    <row r="331" spans="1:36"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row>
    <row r="332" spans="1:36"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row>
    <row r="333" spans="1:36"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row>
    <row r="334" spans="1:36"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row>
    <row r="335" spans="1:36"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row>
    <row r="336" spans="1:36"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row>
    <row r="337" spans="1:31"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row>
    <row r="338" spans="1:31"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row>
    <row r="339" spans="1:31"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row>
    <row r="340" spans="1:31"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row>
    <row r="341" spans="1:31"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row>
    <row r="342" spans="1:31"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row>
    <row r="343" spans="1:31"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row>
    <row r="344" spans="1:31"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row>
    <row r="345" spans="1:31"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row>
    <row r="346" spans="1:31"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row>
    <row r="347" spans="1:31"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row>
    <row r="348" spans="1:31"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row>
    <row r="349" spans="1:31"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row>
    <row r="350" spans="1:31"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row>
    <row r="351" spans="1:31"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row>
    <row r="352" spans="1:31"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row>
    <row r="353" spans="1:31"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row>
    <row r="354" spans="1:31"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row>
    <row r="355" spans="1:31"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row>
    <row r="356" spans="1:31"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row>
    <row r="357" spans="1:31"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row>
  </sheetData>
  <phoneticPr fontId="13"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D461-259A-44B2-9EF4-67074427B5EF}">
  <dimension ref="A2:S139"/>
  <sheetViews>
    <sheetView showGridLines="0" zoomScale="80" zoomScaleNormal="80" workbookViewId="0">
      <selection activeCell="G92" sqref="G92"/>
    </sheetView>
  </sheetViews>
  <sheetFormatPr defaultColWidth="8.85546875" defaultRowHeight="15" x14ac:dyDescent="0.25"/>
  <cols>
    <col min="1" max="1" width="37.42578125" style="6" customWidth="1"/>
    <col min="2" max="6" width="8.85546875" style="6"/>
    <col min="7" max="7" width="55.140625" style="6" customWidth="1"/>
    <col min="8" max="16384" width="8.85546875" style="6"/>
  </cols>
  <sheetData>
    <row r="2" spans="1:19" x14ac:dyDescent="0.25">
      <c r="B2" s="6">
        <v>2013</v>
      </c>
      <c r="C2" s="6">
        <v>2014</v>
      </c>
      <c r="D2" s="6">
        <v>2015</v>
      </c>
      <c r="E2" s="6">
        <v>2016</v>
      </c>
      <c r="F2" s="6">
        <v>2017</v>
      </c>
      <c r="G2" s="6">
        <v>2018</v>
      </c>
      <c r="H2" s="6">
        <v>2019</v>
      </c>
      <c r="I2" s="6">
        <v>2020</v>
      </c>
      <c r="J2" s="6">
        <v>2021</v>
      </c>
      <c r="K2" s="6">
        <v>2022</v>
      </c>
      <c r="L2" s="6">
        <v>2023</v>
      </c>
      <c r="M2" s="6">
        <v>2024</v>
      </c>
      <c r="N2" s="6">
        <v>2025</v>
      </c>
      <c r="O2" s="6">
        <v>2026</v>
      </c>
      <c r="P2" s="6">
        <v>2027</v>
      </c>
      <c r="Q2" s="6">
        <v>2028</v>
      </c>
      <c r="R2" s="6">
        <v>2029</v>
      </c>
      <c r="S2" s="6">
        <v>2030</v>
      </c>
    </row>
    <row r="3" spans="1:19" x14ac:dyDescent="0.25">
      <c r="A3" s="5" t="s">
        <v>122</v>
      </c>
      <c r="B3" s="7">
        <v>1</v>
      </c>
      <c r="C3" s="7">
        <v>1</v>
      </c>
      <c r="D3" s="7">
        <v>1</v>
      </c>
      <c r="E3" s="7">
        <v>1.0467220133747839</v>
      </c>
      <c r="F3" s="7">
        <v>1.1288217177751227</v>
      </c>
      <c r="G3" s="7">
        <v>1.145</v>
      </c>
      <c r="H3" s="7">
        <v>1.157</v>
      </c>
      <c r="I3" s="7">
        <v>1.1616453615165239</v>
      </c>
      <c r="J3" s="7">
        <v>1.1827367034748251</v>
      </c>
      <c r="K3" s="7">
        <v>1.1901797658603233</v>
      </c>
      <c r="L3" s="7">
        <v>1.203229114476573</v>
      </c>
      <c r="M3" s="7">
        <v>1.2196806833327518</v>
      </c>
      <c r="N3" s="7">
        <v>1.2380911138169235</v>
      </c>
      <c r="O3" s="7">
        <v>1.2475775949643702</v>
      </c>
      <c r="P3" s="7">
        <v>1.2571278246946045</v>
      </c>
      <c r="Q3" s="7">
        <v>1.2667378584950382</v>
      </c>
      <c r="R3" s="7">
        <v>1.2764040707046369</v>
      </c>
      <c r="S3" s="7">
        <v>1.2861231229344561</v>
      </c>
    </row>
    <row r="8" spans="1:19" ht="15.75" x14ac:dyDescent="0.3">
      <c r="B8" s="1">
        <f>Master!E1</f>
        <v>2019</v>
      </c>
      <c r="C8" s="1">
        <f>Master!F1</f>
        <v>2020</v>
      </c>
      <c r="D8" s="1">
        <f>Master!G1</f>
        <v>2021</v>
      </c>
      <c r="E8" s="1">
        <f>Master!H1</f>
        <v>2022</v>
      </c>
      <c r="F8" s="1">
        <f>Master!I1</f>
        <v>2023</v>
      </c>
      <c r="G8" s="1">
        <f>Master!J1</f>
        <v>2024</v>
      </c>
      <c r="H8" s="1">
        <f>Master!K1</f>
        <v>2025</v>
      </c>
      <c r="I8" s="1">
        <f>Master!L1</f>
        <v>2026</v>
      </c>
      <c r="J8" s="1">
        <f>Master!M1</f>
        <v>2027</v>
      </c>
      <c r="K8" s="1">
        <f>Master!N1</f>
        <v>2028</v>
      </c>
      <c r="L8" s="1">
        <f>Master!O1</f>
        <v>2029</v>
      </c>
      <c r="M8" s="1">
        <f>Master!P1</f>
        <v>2030</v>
      </c>
    </row>
    <row r="9" spans="1:19" ht="15.75" x14ac:dyDescent="0.3">
      <c r="A9" s="2" t="s">
        <v>6</v>
      </c>
      <c r="B9" s="8">
        <f>Master!E129/1000</f>
        <v>97.296000000000006</v>
      </c>
      <c r="C9" s="8">
        <f>Master!F129/1000</f>
        <v>102.462</v>
      </c>
      <c r="D9" s="8">
        <f>Master!G128/1000</f>
        <v>95.986999999999995</v>
      </c>
      <c r="E9" s="8">
        <f>Master!H128/1000</f>
        <v>101.38917272648536</v>
      </c>
      <c r="F9" s="8">
        <f>Master!I128/1000</f>
        <v>102.65267338780747</v>
      </c>
      <c r="G9" s="8">
        <f>Master!J128/1000</f>
        <v>107.6071092486534</v>
      </c>
      <c r="H9" s="8">
        <f>Master!K128/1000</f>
        <v>114.56478713154883</v>
      </c>
      <c r="I9" s="8">
        <f>Master!L128/1000</f>
        <v>119.82570703649371</v>
      </c>
      <c r="J9" s="8">
        <f>Master!M128/1000</f>
        <v>124.98986896348809</v>
      </c>
      <c r="K9" s="8">
        <f>Master!N128/1000</f>
        <v>130.45727291253189</v>
      </c>
      <c r="L9" s="8">
        <f>Master!O128/1000</f>
        <v>135.92791888362521</v>
      </c>
      <c r="M9" s="8">
        <f>Master!P128/1000</f>
        <v>141.60580687676799</v>
      </c>
    </row>
    <row r="30" spans="1:2" x14ac:dyDescent="0.25">
      <c r="A30" s="6" t="s">
        <v>410</v>
      </c>
    </row>
    <row r="32" spans="1:2" x14ac:dyDescent="0.25">
      <c r="A32" s="6" t="str">
        <f>Master!A87</f>
        <v>Sitios</v>
      </c>
      <c r="B32" s="21">
        <f>Master!G87</f>
        <v>0.16718037710463771</v>
      </c>
    </row>
    <row r="33" spans="1:2" x14ac:dyDescent="0.25">
      <c r="A33" s="6" t="str">
        <f>Master!A88</f>
        <v>AMT</v>
      </c>
      <c r="B33" s="21">
        <f>Master!G88</f>
        <v>0.34379655578359575</v>
      </c>
    </row>
    <row r="34" spans="1:2" x14ac:dyDescent="0.25">
      <c r="A34" s="6" t="str">
        <f>Master!A89</f>
        <v>SBA</v>
      </c>
      <c r="B34" s="21">
        <f>Master!G89</f>
        <v>0.14699907279110713</v>
      </c>
    </row>
    <row r="35" spans="1:2" x14ac:dyDescent="0.25">
      <c r="A35" s="6" t="str">
        <f>Master!A90</f>
        <v>GTS</v>
      </c>
      <c r="B35" s="21">
        <f>Master!G90</f>
        <v>9.6739290588457677E-2</v>
      </c>
    </row>
    <row r="36" spans="1:2" x14ac:dyDescent="0.25">
      <c r="A36" s="6" t="str">
        <f>Master!A91</f>
        <v>IHS</v>
      </c>
      <c r="B36" s="21">
        <f>Master!G91</f>
        <v>6.4740909855352441E-2</v>
      </c>
    </row>
    <row r="37" spans="1:2" x14ac:dyDescent="0.25">
      <c r="A37" s="6" t="str">
        <f>Master!A92</f>
        <v>Highline</v>
      </c>
      <c r="B37" s="21">
        <f>Master!G92</f>
        <v>4.9113793683370821E-2</v>
      </c>
    </row>
    <row r="38" spans="1:2" x14ac:dyDescent="0.25">
      <c r="A38" s="6" t="str">
        <f>Master!A93</f>
        <v>QMC</v>
      </c>
      <c r="B38" s="21">
        <f>Master!G93</f>
        <v>3.7207419457099107E-2</v>
      </c>
    </row>
    <row r="39" spans="1:2" x14ac:dyDescent="0.25">
      <c r="A39" s="6" t="str">
        <f>Master!A94</f>
        <v>Other</v>
      </c>
      <c r="B39" s="21">
        <f>Master!G94</f>
        <v>9.4222580736379402E-2</v>
      </c>
    </row>
    <row r="40" spans="1:2" x14ac:dyDescent="0.25">
      <c r="A40" s="6" t="str">
        <f>Master!A95</f>
        <v>Total</v>
      </c>
      <c r="B40" s="21">
        <f>Master!G95</f>
        <v>1</v>
      </c>
    </row>
    <row r="50" spans="1:9" x14ac:dyDescent="0.25">
      <c r="B50" s="6">
        <v>2021</v>
      </c>
      <c r="C50" s="6">
        <f>B50+1</f>
        <v>2022</v>
      </c>
      <c r="D50" s="6">
        <f>C50+1</f>
        <v>2023</v>
      </c>
      <c r="E50" s="6">
        <f>D50+1</f>
        <v>2024</v>
      </c>
      <c r="F50" s="6">
        <f>E50+1</f>
        <v>2025</v>
      </c>
      <c r="G50" s="6">
        <f>F50+1</f>
        <v>2026</v>
      </c>
    </row>
    <row r="51" spans="1:9" x14ac:dyDescent="0.25">
      <c r="A51" s="6" t="s">
        <v>255</v>
      </c>
      <c r="B51" s="21">
        <f>Master!G429</f>
        <v>6.0911574519939463E-2</v>
      </c>
      <c r="C51" s="21">
        <f>Master!H429</f>
        <v>4.8592358207668704E-2</v>
      </c>
      <c r="D51" s="21">
        <f>Master!I429</f>
        <v>1.8035565560348011E-2</v>
      </c>
      <c r="E51" s="21">
        <f ca="1">Master!J429</f>
        <v>7.1582155044947096E-2</v>
      </c>
      <c r="F51" s="21">
        <f ca="1">Master!K429</f>
        <v>9.4010948566769351E-2</v>
      </c>
      <c r="G51" s="21">
        <f ca="1">Master!L429</f>
        <v>0.11452172921161353</v>
      </c>
    </row>
    <row r="52" spans="1:9" x14ac:dyDescent="0.25">
      <c r="A52" s="6" t="s">
        <v>129</v>
      </c>
      <c r="B52" s="21">
        <v>2.6873959356560142E-2</v>
      </c>
      <c r="C52" s="21">
        <v>4.5188679422834818E-2</v>
      </c>
      <c r="D52" s="21">
        <v>6.6001877593996922E-2</v>
      </c>
      <c r="E52" s="21">
        <v>8.3536970071821939E-2</v>
      </c>
      <c r="F52" s="21">
        <v>0.10340316893530703</v>
      </c>
      <c r="G52" s="21">
        <v>0.12658836607156571</v>
      </c>
    </row>
    <row r="63" spans="1:9" x14ac:dyDescent="0.25">
      <c r="A63" s="66" t="s">
        <v>613</v>
      </c>
      <c r="B63" s="69" t="s">
        <v>279</v>
      </c>
      <c r="C63" s="69" t="s">
        <v>280</v>
      </c>
      <c r="D63" s="69" t="s">
        <v>610</v>
      </c>
      <c r="E63" s="69" t="s">
        <v>577</v>
      </c>
      <c r="F63" s="69" t="s">
        <v>558</v>
      </c>
      <c r="G63" s="69" t="s">
        <v>609</v>
      </c>
      <c r="H63" s="69" t="s">
        <v>557</v>
      </c>
      <c r="I63" s="69" t="s">
        <v>604</v>
      </c>
    </row>
    <row r="64" spans="1:9" x14ac:dyDescent="0.25">
      <c r="A64" s="70" t="s">
        <v>608</v>
      </c>
      <c r="B64" s="71">
        <f>Interims!G4</f>
        <v>29090</v>
      </c>
      <c r="C64" s="71">
        <f>F64</f>
        <v>29727</v>
      </c>
      <c r="D64" s="153"/>
      <c r="E64" s="71">
        <f>B87</f>
        <v>29163</v>
      </c>
      <c r="F64" s="71">
        <f>C87</f>
        <v>29727</v>
      </c>
      <c r="G64" s="154">
        <f>F64/E64-1</f>
        <v>1.9339574117889002E-2</v>
      </c>
      <c r="H64" s="153"/>
      <c r="I64" s="153"/>
    </row>
    <row r="65" spans="1:9" x14ac:dyDescent="0.25">
      <c r="A65" s="6" t="s">
        <v>35</v>
      </c>
      <c r="B65" s="12">
        <f>Interims!G57</f>
        <v>5914.3949999999995</v>
      </c>
      <c r="C65" s="12">
        <f>SUM(E65:F65)</f>
        <v>6326.6049999999996</v>
      </c>
      <c r="D65" s="15">
        <f>C65/B65-1</f>
        <v>6.969605513328081E-2</v>
      </c>
      <c r="E65" s="12">
        <f>Interims!H57</f>
        <v>3257</v>
      </c>
      <c r="F65" s="12">
        <f>Interims!I57</f>
        <v>3069.605</v>
      </c>
      <c r="G65" s="68">
        <f>F65/E65-1</f>
        <v>-5.7536076143690495E-2</v>
      </c>
      <c r="H65" s="12">
        <f>Interims!AC57</f>
        <v>3069.6049999999996</v>
      </c>
      <c r="I65" s="21">
        <f>F65/H65-1</f>
        <v>0</v>
      </c>
    </row>
    <row r="66" spans="1:9" x14ac:dyDescent="0.25">
      <c r="A66" s="155" t="s">
        <v>605</v>
      </c>
      <c r="B66" s="156">
        <f>Interims!G61</f>
        <v>4331.9139999999998</v>
      </c>
      <c r="C66" s="156">
        <f>SUM(E66:F66)</f>
        <v>3992.0860000000002</v>
      </c>
      <c r="D66" s="75">
        <f>C66/B66-1</f>
        <v>-7.8447540740651744E-2</v>
      </c>
      <c r="E66" s="156">
        <f>Interims!H61</f>
        <v>2090</v>
      </c>
      <c r="F66" s="156">
        <f>Interims!I61</f>
        <v>1902.086</v>
      </c>
      <c r="G66" s="154">
        <f>F66/E66-1</f>
        <v>-8.9911004784688942E-2</v>
      </c>
      <c r="H66" s="156">
        <f>Interims!AC61</f>
        <v>1902.0860000000002</v>
      </c>
      <c r="I66" s="157">
        <f>F66/H66-1</f>
        <v>0</v>
      </c>
    </row>
    <row r="67" spans="1:9" x14ac:dyDescent="0.25">
      <c r="A67" s="152" t="s">
        <v>606</v>
      </c>
      <c r="B67" s="12">
        <f>Interims!G64</f>
        <v>1582.4809999999998</v>
      </c>
      <c r="C67" s="12">
        <f>SUM(E67:F67)</f>
        <v>2334.5190000000002</v>
      </c>
      <c r="D67" s="15">
        <f>C67/B67-1</f>
        <v>0.47522719072140562</v>
      </c>
      <c r="E67" s="12">
        <f>Interims!H64</f>
        <v>1167</v>
      </c>
      <c r="F67" s="12">
        <f>Interims!I64</f>
        <v>1167.519</v>
      </c>
      <c r="G67" s="68">
        <f>F67/E67-1</f>
        <v>4.4473007712086954E-4</v>
      </c>
      <c r="H67" s="12">
        <f>Interims!AC64</f>
        <v>1167.5190000000002</v>
      </c>
      <c r="I67" s="21">
        <f>F67/H67-1</f>
        <v>0</v>
      </c>
    </row>
    <row r="68" spans="1:9" x14ac:dyDescent="0.25">
      <c r="A68" s="70"/>
      <c r="B68" s="156"/>
      <c r="C68" s="156"/>
      <c r="D68" s="156"/>
      <c r="E68" s="157"/>
      <c r="F68" s="70"/>
      <c r="G68" s="70"/>
      <c r="H68" s="70"/>
      <c r="I68" s="70"/>
    </row>
    <row r="69" spans="1:9" x14ac:dyDescent="0.25">
      <c r="A69" s="6" t="s">
        <v>612</v>
      </c>
      <c r="B69" s="12"/>
      <c r="C69" s="12"/>
      <c r="D69" s="12"/>
      <c r="E69" s="12">
        <f>Interims!H75</f>
        <v>23918.653688794282</v>
      </c>
      <c r="F69" s="12">
        <f>Interims!I75</f>
        <v>21532.642780324899</v>
      </c>
      <c r="H69" s="12">
        <f>Interims!AC75</f>
        <v>21758.765457519705</v>
      </c>
    </row>
    <row r="70" spans="1:9" x14ac:dyDescent="0.25">
      <c r="A70" s="70"/>
      <c r="B70" s="156"/>
      <c r="C70" s="156"/>
      <c r="D70" s="156"/>
      <c r="E70" s="157"/>
      <c r="F70" s="70"/>
      <c r="G70" s="70"/>
      <c r="H70" s="70"/>
      <c r="I70" s="70"/>
    </row>
    <row r="71" spans="1:9" x14ac:dyDescent="0.25">
      <c r="A71" s="64" t="s">
        <v>611</v>
      </c>
      <c r="B71" s="12"/>
      <c r="C71" s="12"/>
      <c r="D71" s="12"/>
      <c r="E71" s="21"/>
    </row>
    <row r="72" spans="1:9" x14ac:dyDescent="0.25">
      <c r="A72" s="70" t="str">
        <f>Interims!A69</f>
        <v>Brazil</v>
      </c>
      <c r="B72" s="156"/>
      <c r="C72" s="156"/>
      <c r="D72" s="156"/>
      <c r="E72" s="157"/>
      <c r="F72" s="158">
        <f>Interims!I69</f>
        <v>855.93870000000004</v>
      </c>
      <c r="G72" s="70"/>
      <c r="H72" s="70"/>
      <c r="I72" s="70"/>
    </row>
    <row r="73" spans="1:9" x14ac:dyDescent="0.25">
      <c r="A73" s="6" t="str">
        <f>Interims!A70</f>
        <v>Central America &amp; Caribbean</v>
      </c>
      <c r="B73" s="12"/>
      <c r="C73" s="12"/>
      <c r="D73" s="12"/>
      <c r="E73" s="21"/>
      <c r="F73" s="26">
        <f>Interims!I70</f>
        <v>456.50063999999998</v>
      </c>
    </row>
    <row r="74" spans="1:9" x14ac:dyDescent="0.25">
      <c r="A74" s="70" t="str">
        <f>Interims!A71</f>
        <v>AUP</v>
      </c>
      <c r="B74" s="156"/>
      <c r="C74" s="156"/>
      <c r="D74" s="156"/>
      <c r="E74" s="157"/>
      <c r="F74" s="158">
        <f>Interims!I71</f>
        <v>304.33375999999998</v>
      </c>
      <c r="G74" s="70"/>
      <c r="H74" s="70"/>
      <c r="I74" s="70"/>
    </row>
    <row r="75" spans="1:9" x14ac:dyDescent="0.25">
      <c r="A75" s="6" t="str">
        <f>Interims!A72</f>
        <v>Andean region</v>
      </c>
      <c r="B75" s="12"/>
      <c r="C75" s="12"/>
      <c r="D75" s="12"/>
      <c r="E75" s="21"/>
      <c r="F75" s="26">
        <f>Interims!I72</f>
        <v>285.31290000000001</v>
      </c>
    </row>
    <row r="76" spans="1:9" x14ac:dyDescent="0.25">
      <c r="A76" s="70"/>
      <c r="B76" s="156"/>
      <c r="C76" s="156"/>
      <c r="D76" s="156"/>
      <c r="E76" s="157"/>
      <c r="F76" s="70"/>
      <c r="G76" s="70"/>
      <c r="H76" s="70"/>
      <c r="I76" s="70"/>
    </row>
    <row r="77" spans="1:9" x14ac:dyDescent="0.25">
      <c r="A77" s="6" t="s">
        <v>607</v>
      </c>
      <c r="B77" s="12"/>
      <c r="C77" s="12"/>
      <c r="D77" s="12"/>
      <c r="E77" s="12">
        <f>E65-E79</f>
        <v>362.35500000000002</v>
      </c>
      <c r="F77" s="12">
        <f>F65-F79</f>
        <v>304.29100000000017</v>
      </c>
    </row>
    <row r="78" spans="1:9" x14ac:dyDescent="0.25">
      <c r="A78" s="70"/>
      <c r="B78" s="156"/>
      <c r="C78" s="156"/>
      <c r="D78" s="156"/>
      <c r="E78" s="157"/>
      <c r="F78" s="70"/>
      <c r="G78" s="70"/>
      <c r="H78" s="70"/>
      <c r="I78" s="70"/>
    </row>
    <row r="79" spans="1:9" x14ac:dyDescent="0.25">
      <c r="A79" s="6" t="s">
        <v>38</v>
      </c>
      <c r="B79" s="12">
        <f ca="1">Interims!G93</f>
        <v>5140.3949999999995</v>
      </c>
      <c r="C79" s="12">
        <f>SUM(E79:F79)</f>
        <v>5659.9589999999998</v>
      </c>
      <c r="E79" s="12">
        <f>Interims!H93</f>
        <v>2894.645</v>
      </c>
      <c r="F79" s="12">
        <f>Interims!I93</f>
        <v>2765.3139999999999</v>
      </c>
      <c r="G79" s="68">
        <f>F79/E79-1</f>
        <v>-4.4679399373671047E-2</v>
      </c>
      <c r="H79" s="12">
        <f ca="1">Interims!AC93</f>
        <v>3167.9600000000005</v>
      </c>
      <c r="I79" s="21">
        <f ca="1">F79/H79-1</f>
        <v>-0.12709945832649416</v>
      </c>
    </row>
    <row r="80" spans="1:9" x14ac:dyDescent="0.25">
      <c r="A80" s="70" t="s">
        <v>510</v>
      </c>
      <c r="B80" s="75">
        <f ca="1">B79/B65</f>
        <v>0.86913285297989062</v>
      </c>
      <c r="C80" s="75">
        <f>C79/C65</f>
        <v>0.89462816154951985</v>
      </c>
      <c r="D80" s="70"/>
      <c r="E80" s="75">
        <f>E79/E65</f>
        <v>0.88874577832361068</v>
      </c>
      <c r="F80" s="75">
        <f>F79/F65</f>
        <v>0.90086965586777445</v>
      </c>
      <c r="G80" s="70"/>
      <c r="H80" s="75">
        <f ca="1">H79/H65</f>
        <v>1.0320415818973454</v>
      </c>
      <c r="I80" s="70"/>
    </row>
    <row r="81" spans="1:11" x14ac:dyDescent="0.25">
      <c r="B81" s="12"/>
      <c r="C81" s="12"/>
      <c r="D81" s="12"/>
      <c r="E81" s="21"/>
    </row>
    <row r="82" spans="1:11" x14ac:dyDescent="0.25">
      <c r="A82" s="70" t="s">
        <v>523</v>
      </c>
      <c r="B82" s="156">
        <f ca="1">Interims!G96</f>
        <v>2224.3949999999995</v>
      </c>
      <c r="C82" s="156">
        <f>SUM(E82:F82)</f>
        <v>2334.4699999999998</v>
      </c>
      <c r="D82" s="70"/>
      <c r="E82" s="156">
        <f>Interims!H96</f>
        <v>1166.951</v>
      </c>
      <c r="F82" s="156">
        <f>Interims!I96</f>
        <v>1167.5189999999998</v>
      </c>
      <c r="G82" s="70"/>
      <c r="H82" s="156">
        <f ca="1">Interims!AC96</f>
        <v>525.65400000000045</v>
      </c>
      <c r="I82" s="70"/>
    </row>
    <row r="83" spans="1:11" x14ac:dyDescent="0.25">
      <c r="A83" s="6" t="s">
        <v>245</v>
      </c>
      <c r="B83" s="12">
        <f ca="1">Interims!G99</f>
        <v>2916</v>
      </c>
      <c r="C83" s="12">
        <f>SUM(E83:F83)</f>
        <v>3325.489</v>
      </c>
      <c r="D83" s="12"/>
      <c r="E83" s="12">
        <f>E79-E82</f>
        <v>1727.694</v>
      </c>
      <c r="F83" s="12">
        <f>F79-F82</f>
        <v>1597.7950000000001</v>
      </c>
      <c r="H83" s="12">
        <f ca="1">Interims!AC99</f>
        <v>2642.306</v>
      </c>
      <c r="I83" s="21">
        <f ca="1">F83/H83-1</f>
        <v>-0.39530281504110421</v>
      </c>
    </row>
    <row r="84" spans="1:11" x14ac:dyDescent="0.25">
      <c r="A84" s="70" t="s">
        <v>510</v>
      </c>
      <c r="B84" s="75">
        <f ca="1">B83/B65</f>
        <v>0.49303436784320293</v>
      </c>
      <c r="C84" s="75">
        <f>C83/C65</f>
        <v>0.52563562921977902</v>
      </c>
      <c r="D84" s="156"/>
      <c r="E84" s="75">
        <f>E83/E65</f>
        <v>0.53045563401903595</v>
      </c>
      <c r="F84" s="75">
        <f>F83/F65</f>
        <v>0.5205213700134057</v>
      </c>
      <c r="G84" s="70"/>
      <c r="H84" s="75">
        <f ca="1">H83/H65</f>
        <v>0.86079674746425039</v>
      </c>
      <c r="I84" s="70"/>
    </row>
    <row r="85" spans="1:11" x14ac:dyDescent="0.25">
      <c r="B85" s="12"/>
      <c r="C85" s="12"/>
      <c r="D85" s="12"/>
      <c r="E85" s="15"/>
      <c r="F85" s="15"/>
    </row>
    <row r="86" spans="1:11" ht="15.75" x14ac:dyDescent="0.25">
      <c r="A86" s="207"/>
      <c r="B86" s="208" t="s">
        <v>577</v>
      </c>
      <c r="C86" s="208" t="s">
        <v>558</v>
      </c>
      <c r="D86" s="208" t="s">
        <v>666</v>
      </c>
      <c r="E86" s="208"/>
      <c r="F86" s="208"/>
      <c r="G86" s="208" t="s">
        <v>614</v>
      </c>
    </row>
    <row r="87" spans="1:11" ht="15.75" x14ac:dyDescent="0.25">
      <c r="A87" s="202" t="str">
        <f>Interims!A4</f>
        <v>Number of towers</v>
      </c>
      <c r="B87" s="209">
        <f>Interims!H4</f>
        <v>29163</v>
      </c>
      <c r="C87" s="209">
        <f>Interims!I4</f>
        <v>29727</v>
      </c>
      <c r="D87" s="209">
        <f>Interims!L4</f>
        <v>34116</v>
      </c>
      <c r="E87" s="202"/>
      <c r="F87" s="202"/>
      <c r="G87" s="202"/>
    </row>
    <row r="88" spans="1:11" ht="15.75" x14ac:dyDescent="0.25">
      <c r="A88" s="190" t="str">
        <f>Interims!A5</f>
        <v>Brazil</v>
      </c>
      <c r="B88" s="210">
        <f>Interims!H5</f>
        <v>11235</v>
      </c>
      <c r="C88" s="210">
        <f>Interims!I5</f>
        <v>11243</v>
      </c>
      <c r="D88" s="210">
        <f>Interims!L5</f>
        <v>11254</v>
      </c>
      <c r="E88" s="190"/>
      <c r="F88" s="190"/>
      <c r="G88" s="190"/>
    </row>
    <row r="89" spans="1:11" ht="15.75" x14ac:dyDescent="0.25">
      <c r="A89" s="196" t="str">
        <f>Interims!A6</f>
        <v>Central America &amp; Caribbean</v>
      </c>
      <c r="B89" s="211">
        <f>Interims!H6</f>
        <v>7606</v>
      </c>
      <c r="C89" s="211">
        <f>Interims!I6</f>
        <v>7622</v>
      </c>
      <c r="D89" s="211">
        <f>Interims!L6</f>
        <v>9021</v>
      </c>
      <c r="E89" s="196"/>
      <c r="F89" s="196"/>
      <c r="G89" s="212" t="s">
        <v>696</v>
      </c>
    </row>
    <row r="90" spans="1:11" ht="15.75" x14ac:dyDescent="0.25">
      <c r="A90" s="190" t="str">
        <f>Interims!A7</f>
        <v>AUP</v>
      </c>
      <c r="B90" s="210">
        <f>Interims!H7</f>
        <v>5413</v>
      </c>
      <c r="C90" s="210">
        <f>Interims!I7</f>
        <v>5416</v>
      </c>
      <c r="D90" s="210">
        <f>Interims!L7</f>
        <v>5423</v>
      </c>
      <c r="E90" s="190"/>
      <c r="F90" s="190"/>
      <c r="G90" s="190"/>
    </row>
    <row r="91" spans="1:11" ht="15.75" x14ac:dyDescent="0.25">
      <c r="A91" s="196" t="str">
        <f>Interims!A8</f>
        <v>Andean region</v>
      </c>
      <c r="B91" s="211">
        <f>Interims!H8</f>
        <v>4909</v>
      </c>
      <c r="C91" s="211">
        <f>Interims!I8</f>
        <v>5446</v>
      </c>
      <c r="D91" s="211">
        <f>Interims!L8</f>
        <v>8418</v>
      </c>
      <c r="E91" s="196"/>
      <c r="F91" s="196"/>
      <c r="G91" s="212" t="s">
        <v>697</v>
      </c>
    </row>
    <row r="92" spans="1:11" ht="15.75" x14ac:dyDescent="0.25">
      <c r="A92" s="190"/>
      <c r="B92" s="210"/>
      <c r="C92" s="210"/>
      <c r="D92" s="210"/>
      <c r="E92" s="190"/>
      <c r="F92" s="190"/>
      <c r="G92" s="213"/>
    </row>
    <row r="93" spans="1:11" ht="15.75" x14ac:dyDescent="0.25">
      <c r="A93" s="202" t="str">
        <f>Interims!A10</f>
        <v>Tenancy ratio</v>
      </c>
      <c r="B93" s="214">
        <f>Interims!H10</f>
        <v>1.23</v>
      </c>
      <c r="C93" s="214">
        <f>Interims!I10</f>
        <v>1.22</v>
      </c>
      <c r="D93" s="214">
        <f>Interims!L10</f>
        <v>1.1977957556571697</v>
      </c>
      <c r="E93" s="202"/>
      <c r="F93" s="202"/>
      <c r="G93" s="212" t="s">
        <v>698</v>
      </c>
    </row>
    <row r="94" spans="1:11" ht="15.75" x14ac:dyDescent="0.25">
      <c r="A94" s="190" t="str">
        <f>Interims!A11</f>
        <v>Brazil</v>
      </c>
      <c r="B94" s="215">
        <f>Interims!H11</f>
        <v>1.34</v>
      </c>
      <c r="C94" s="215">
        <f>Interims!I11</f>
        <v>1.34</v>
      </c>
      <c r="D94" s="215">
        <f>Interims!L11</f>
        <v>1.3459214501510575</v>
      </c>
      <c r="E94" s="190"/>
      <c r="F94" s="190"/>
      <c r="G94" s="190"/>
      <c r="I94" s="6">
        <v>1.34</v>
      </c>
      <c r="J94" s="6">
        <f>B88*I94</f>
        <v>15054.900000000001</v>
      </c>
      <c r="K94" s="12">
        <f>C100-J94</f>
        <v>10.719999999999345</v>
      </c>
    </row>
    <row r="95" spans="1:11" ht="15.75" x14ac:dyDescent="0.25">
      <c r="A95" s="196" t="str">
        <f>Interims!A12</f>
        <v>Central America &amp; Caribbean</v>
      </c>
      <c r="B95" s="216">
        <f>Interims!H12</f>
        <v>1.1599999999999999</v>
      </c>
      <c r="C95" s="216">
        <f>Interims!I12</f>
        <v>1.1599999999999999</v>
      </c>
      <c r="D95" s="216">
        <f>Interims!L12</f>
        <v>1.121383438643166</v>
      </c>
      <c r="E95" s="196"/>
      <c r="F95" s="196"/>
      <c r="G95" s="196"/>
      <c r="I95" s="6">
        <v>1.1599999999999999</v>
      </c>
      <c r="J95" s="6">
        <f>B89*I95</f>
        <v>8822.9599999999991</v>
      </c>
      <c r="K95" s="12">
        <f>C101-J95</f>
        <v>18.559999999999491</v>
      </c>
    </row>
    <row r="96" spans="1:11" ht="15.75" x14ac:dyDescent="0.25">
      <c r="A96" s="190" t="str">
        <f>Interims!A13</f>
        <v>AUP</v>
      </c>
      <c r="B96" s="215">
        <f>Interims!H13</f>
        <v>1.19</v>
      </c>
      <c r="C96" s="215">
        <f>Interims!I13</f>
        <v>1.2</v>
      </c>
      <c r="D96" s="215">
        <f>Interims!L13</f>
        <v>1.1969389636732435</v>
      </c>
      <c r="E96" s="190"/>
      <c r="F96" s="190"/>
      <c r="G96" s="190"/>
      <c r="I96" s="6">
        <v>1.19</v>
      </c>
      <c r="J96" s="6">
        <f>B90*I96</f>
        <v>6441.4699999999993</v>
      </c>
      <c r="K96" s="12">
        <f>C102-J96</f>
        <v>57.730000000000473</v>
      </c>
    </row>
    <row r="97" spans="1:19" ht="15.75" x14ac:dyDescent="0.25">
      <c r="A97" s="196" t="str">
        <f>Interims!A14</f>
        <v>Andean region</v>
      </c>
      <c r="B97" s="216">
        <f>Interims!H14</f>
        <v>1.1100000000000001</v>
      </c>
      <c r="C97" s="216">
        <f>Interims!I14</f>
        <v>1.08</v>
      </c>
      <c r="D97" s="216">
        <f>Interims!L14</f>
        <v>1.0822047992397243</v>
      </c>
      <c r="E97" s="196"/>
      <c r="F97" s="196"/>
      <c r="G97" s="196"/>
      <c r="I97" s="6">
        <v>1.1100000000000001</v>
      </c>
      <c r="J97" s="6">
        <f>B91*I97</f>
        <v>5448.9900000000007</v>
      </c>
      <c r="K97" s="12">
        <f>C103-J97</f>
        <v>432.6899999999996</v>
      </c>
    </row>
    <row r="98" spans="1:19" ht="15.75" x14ac:dyDescent="0.25">
      <c r="A98" s="190"/>
      <c r="B98" s="210"/>
      <c r="C98" s="210"/>
      <c r="D98" s="210"/>
      <c r="E98" s="190"/>
      <c r="F98" s="190"/>
      <c r="G98" s="190"/>
    </row>
    <row r="99" spans="1:19" ht="15.75" x14ac:dyDescent="0.25">
      <c r="A99" s="202" t="str">
        <f>Interims!A16</f>
        <v>Tenants</v>
      </c>
      <c r="B99" s="209">
        <f>Interims!H16</f>
        <v>35768.32</v>
      </c>
      <c r="C99" s="209">
        <f>Interims!I16</f>
        <v>36288.020000000004</v>
      </c>
      <c r="D99" s="209">
        <f>Interims!L16</f>
        <v>40864</v>
      </c>
      <c r="E99" s="202"/>
      <c r="F99" s="202"/>
      <c r="G99" s="202"/>
    </row>
    <row r="100" spans="1:19" ht="15.75" x14ac:dyDescent="0.25">
      <c r="A100" s="190" t="str">
        <f>Interims!A17</f>
        <v>Brazil</v>
      </c>
      <c r="B100" s="210">
        <f>Interims!H17</f>
        <v>15054.900000000001</v>
      </c>
      <c r="C100" s="210">
        <f>Interims!I17</f>
        <v>15065.62</v>
      </c>
      <c r="D100" s="210">
        <f>Interims!L17</f>
        <v>15147</v>
      </c>
      <c r="E100" s="190"/>
      <c r="F100" s="190"/>
      <c r="G100" s="213"/>
      <c r="S100" s="22" t="s">
        <v>616</v>
      </c>
    </row>
    <row r="101" spans="1:19" ht="15.75" x14ac:dyDescent="0.25">
      <c r="A101" s="196" t="str">
        <f>Interims!A18</f>
        <v>Central America &amp; Caribbean</v>
      </c>
      <c r="B101" s="211">
        <f>Interims!H18</f>
        <v>8822.9599999999991</v>
      </c>
      <c r="C101" s="211">
        <f>Interims!I18</f>
        <v>8841.5199999999986</v>
      </c>
      <c r="D101" s="211">
        <f>Interims!L18</f>
        <v>10116</v>
      </c>
      <c r="E101" s="196"/>
      <c r="F101" s="196"/>
      <c r="G101" s="212"/>
      <c r="S101" s="72" t="s">
        <v>617</v>
      </c>
    </row>
    <row r="102" spans="1:19" ht="15.75" x14ac:dyDescent="0.25">
      <c r="A102" s="190" t="str">
        <f>Interims!A19</f>
        <v>AUP</v>
      </c>
      <c r="B102" s="210">
        <f>Interims!H19</f>
        <v>6441.4699999999993</v>
      </c>
      <c r="C102" s="210">
        <f>Interims!I19</f>
        <v>6499.2</v>
      </c>
      <c r="D102" s="210">
        <f>Interims!L19</f>
        <v>6491</v>
      </c>
      <c r="E102" s="190"/>
      <c r="F102" s="190"/>
      <c r="G102" s="213"/>
      <c r="S102" s="22" t="s">
        <v>615</v>
      </c>
    </row>
    <row r="103" spans="1:19" ht="15.75" x14ac:dyDescent="0.25">
      <c r="A103" s="196" t="str">
        <f>Interims!A20</f>
        <v>Andean region</v>
      </c>
      <c r="B103" s="211">
        <f>Interims!H20</f>
        <v>5448.9900000000007</v>
      </c>
      <c r="C103" s="211">
        <f>Interims!I20</f>
        <v>5881.68</v>
      </c>
      <c r="D103" s="211">
        <f>Interims!L20</f>
        <v>9110</v>
      </c>
      <c r="E103" s="196"/>
      <c r="F103" s="196"/>
      <c r="G103" s="196"/>
    </row>
    <row r="104" spans="1:19" ht="15.75" x14ac:dyDescent="0.25">
      <c r="A104" s="190"/>
      <c r="B104" s="210"/>
      <c r="C104" s="210"/>
      <c r="D104" s="210"/>
      <c r="E104" s="190"/>
      <c r="F104" s="190"/>
      <c r="G104" s="190"/>
    </row>
    <row r="105" spans="1:19" ht="15.75" x14ac:dyDescent="0.25">
      <c r="A105" s="202" t="s">
        <v>710</v>
      </c>
      <c r="B105" s="209"/>
      <c r="C105" s="209">
        <f>SUM(C106:C109)</f>
        <v>64</v>
      </c>
      <c r="D105" s="209">
        <f>SUM(D106:D109)</f>
        <v>21</v>
      </c>
      <c r="E105" s="202"/>
      <c r="F105" s="202"/>
      <c r="G105" s="202"/>
    </row>
    <row r="106" spans="1:19" ht="15.75" x14ac:dyDescent="0.25">
      <c r="A106" s="190" t="str">
        <f>A88</f>
        <v>Brazil</v>
      </c>
      <c r="B106" s="210"/>
      <c r="C106" s="210">
        <f>C88-B88</f>
        <v>8</v>
      </c>
      <c r="D106" s="210">
        <f>D88-C88</f>
        <v>11</v>
      </c>
      <c r="E106" s="190"/>
      <c r="F106" s="190"/>
      <c r="G106" s="213"/>
    </row>
    <row r="107" spans="1:19" ht="15.75" x14ac:dyDescent="0.25">
      <c r="A107" s="196" t="str">
        <f t="shared" ref="A107:A109" si="0">A89</f>
        <v>Central America &amp; Caribbean</v>
      </c>
      <c r="B107" s="211"/>
      <c r="C107" s="211">
        <f>C89-B89</f>
        <v>16</v>
      </c>
      <c r="D107" s="211">
        <f>D89-C89-1388</f>
        <v>11</v>
      </c>
      <c r="E107" s="196"/>
      <c r="F107" s="196"/>
      <c r="G107" s="212"/>
    </row>
    <row r="108" spans="1:19" ht="15.75" x14ac:dyDescent="0.25">
      <c r="A108" s="190" t="str">
        <f t="shared" si="0"/>
        <v>AUP</v>
      </c>
      <c r="B108" s="210"/>
      <c r="C108" s="210">
        <f>C90-B90</f>
        <v>3</v>
      </c>
      <c r="D108" s="210">
        <f>D90-C90</f>
        <v>7</v>
      </c>
      <c r="E108" s="190"/>
      <c r="F108" s="190"/>
      <c r="G108" s="213"/>
    </row>
    <row r="109" spans="1:19" ht="15.75" x14ac:dyDescent="0.25">
      <c r="A109" s="196" t="str">
        <f t="shared" si="0"/>
        <v>Andean region</v>
      </c>
      <c r="B109" s="211"/>
      <c r="C109" s="211">
        <f>C91-B91-500</f>
        <v>37</v>
      </c>
      <c r="D109" s="211">
        <f>D91-C91-2980</f>
        <v>-8</v>
      </c>
      <c r="E109" s="196"/>
      <c r="F109" s="196"/>
      <c r="G109" s="196"/>
    </row>
    <row r="110" spans="1:19" ht="15.75" x14ac:dyDescent="0.25">
      <c r="A110" s="190"/>
      <c r="B110" s="210"/>
      <c r="C110" s="210"/>
      <c r="D110" s="210"/>
      <c r="E110" s="190"/>
      <c r="F110" s="190"/>
      <c r="G110" s="190"/>
    </row>
    <row r="111" spans="1:19" ht="15.75" x14ac:dyDescent="0.25">
      <c r="A111" s="202" t="s">
        <v>712</v>
      </c>
      <c r="B111" s="209"/>
      <c r="C111" s="209">
        <f>Interims!I75</f>
        <v>21532.642780324899</v>
      </c>
      <c r="D111" s="209">
        <f>Interims!L75</f>
        <v>19889.280474497336</v>
      </c>
      <c r="E111" s="202"/>
      <c r="F111" s="203" t="s">
        <v>711</v>
      </c>
      <c r="G111" s="212"/>
    </row>
    <row r="112" spans="1:19" ht="15.75" x14ac:dyDescent="0.25">
      <c r="A112" s="190" t="str">
        <f>A94</f>
        <v>Brazil</v>
      </c>
      <c r="B112" s="210"/>
      <c r="C112" s="210">
        <f>Interims!I173</f>
        <v>24812.765073998278</v>
      </c>
      <c r="D112" s="210">
        <f>Interims!L173</f>
        <v>24166.718525433022</v>
      </c>
      <c r="E112" s="190"/>
      <c r="F112" s="217">
        <f>D112/C112-1</f>
        <v>-2.6036862342369904E-2</v>
      </c>
      <c r="G112" s="213"/>
    </row>
    <row r="113" spans="1:7" ht="15.75" x14ac:dyDescent="0.25">
      <c r="A113" s="196" t="str">
        <f t="shared" ref="A113:A115" si="1">A95</f>
        <v>Central America &amp; Caribbean</v>
      </c>
      <c r="B113" s="211"/>
      <c r="C113" s="211">
        <f>Interims!I215</f>
        <v>19691.270466684178</v>
      </c>
      <c r="D113" s="211">
        <f>Interims!L215</f>
        <v>15736.225440124979</v>
      </c>
      <c r="E113" s="196"/>
      <c r="F113" s="198"/>
      <c r="G113" s="212"/>
    </row>
    <row r="114" spans="1:7" ht="15.75" x14ac:dyDescent="0.25">
      <c r="A114" s="190" t="str">
        <f t="shared" si="1"/>
        <v>AUP</v>
      </c>
      <c r="B114" s="210"/>
      <c r="C114" s="210">
        <f>Interims!I187</f>
        <v>17963.616215717058</v>
      </c>
      <c r="D114" s="210">
        <f>Interims!L187</f>
        <v>19419.811175692714</v>
      </c>
      <c r="E114" s="190"/>
      <c r="F114" s="217">
        <f>D114/C114-1</f>
        <v>8.1063575534505938E-2</v>
      </c>
      <c r="G114" s="213"/>
    </row>
    <row r="115" spans="1:7" ht="15.75" x14ac:dyDescent="0.25">
      <c r="A115" s="196" t="str">
        <f t="shared" si="1"/>
        <v>Andean region</v>
      </c>
      <c r="B115" s="211"/>
      <c r="C115" s="211">
        <f>Interims!I201</f>
        <v>16939.964590375021</v>
      </c>
      <c r="D115" s="211">
        <f>Interims!L201</f>
        <v>13814.96441623389</v>
      </c>
      <c r="E115" s="196"/>
      <c r="F115" s="198"/>
      <c r="G115" s="196"/>
    </row>
    <row r="129" spans="1:4" x14ac:dyDescent="0.25">
      <c r="D129" s="12">
        <f>D89-C89</f>
        <v>1399</v>
      </c>
    </row>
    <row r="130" spans="1:4" x14ac:dyDescent="0.25">
      <c r="D130" s="12">
        <f>D91-C91</f>
        <v>2972</v>
      </c>
    </row>
    <row r="135" spans="1:4" x14ac:dyDescent="0.25">
      <c r="A135" s="6" t="s">
        <v>675</v>
      </c>
      <c r="B135" s="6" t="str">
        <f>C86</f>
        <v>Q4 22</v>
      </c>
      <c r="C135" s="6" t="str">
        <f>D86</f>
        <v>Q1 23</v>
      </c>
    </row>
    <row r="136" spans="1:4" x14ac:dyDescent="0.25">
      <c r="A136" s="6" t="str">
        <f>A88</f>
        <v>Brazil</v>
      </c>
    </row>
    <row r="137" spans="1:4" x14ac:dyDescent="0.25">
      <c r="A137" s="6" t="str">
        <f t="shared" ref="A137:A139" si="2">A89</f>
        <v>Central America &amp; Caribbean</v>
      </c>
    </row>
    <row r="138" spans="1:4" x14ac:dyDescent="0.25">
      <c r="A138" s="6" t="str">
        <f t="shared" si="2"/>
        <v>AUP</v>
      </c>
    </row>
    <row r="139" spans="1:4" x14ac:dyDescent="0.25">
      <c r="A139" s="6" t="str">
        <f t="shared" si="2"/>
        <v>Andean region</v>
      </c>
    </row>
  </sheetData>
  <pageMargins left="0.7" right="0.7" top="0.75" bottom="0.75" header="0.3" footer="0.3"/>
  <ignoredErrors>
    <ignoredError sqref="D107" formula="1"/>
  </ignoredErrors>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59CB-E332-4767-B788-EFE7FA233936}">
  <dimension ref="A2:Z206"/>
  <sheetViews>
    <sheetView topLeftCell="A112" zoomScale="85" zoomScaleNormal="85" workbookViewId="0">
      <selection activeCell="F177" sqref="F177"/>
    </sheetView>
  </sheetViews>
  <sheetFormatPr defaultRowHeight="15" x14ac:dyDescent="0.25"/>
  <sheetData>
    <row r="2" spans="1:1" x14ac:dyDescent="0.25">
      <c r="A2" s="4">
        <v>44652</v>
      </c>
    </row>
    <row r="3" spans="1:1" x14ac:dyDescent="0.25">
      <c r="A3" t="s">
        <v>94</v>
      </c>
    </row>
    <row r="5" spans="1:1" x14ac:dyDescent="0.25">
      <c r="A5" t="s">
        <v>95</v>
      </c>
    </row>
    <row r="7" spans="1:1" x14ac:dyDescent="0.25">
      <c r="A7" t="s">
        <v>96</v>
      </c>
    </row>
    <row r="31" spans="2:26" x14ac:dyDescent="0.25">
      <c r="Z31">
        <f>453/8</f>
        <v>56.625</v>
      </c>
    </row>
    <row r="32" spans="2:26" x14ac:dyDescent="0.25">
      <c r="B32" t="s">
        <v>246</v>
      </c>
      <c r="Z32">
        <f>Z31/7</f>
        <v>8.0892857142857135</v>
      </c>
    </row>
    <row r="34" spans="13:26" x14ac:dyDescent="0.25">
      <c r="Z34">
        <f>Z32+Z31</f>
        <v>64.714285714285708</v>
      </c>
    </row>
    <row r="35" spans="13:26" x14ac:dyDescent="0.25">
      <c r="M35" t="s">
        <v>248</v>
      </c>
    </row>
    <row r="36" spans="13:26" x14ac:dyDescent="0.25">
      <c r="Z36">
        <f>7*Z34</f>
        <v>452.99999999999994</v>
      </c>
    </row>
    <row r="39" spans="13:26" x14ac:dyDescent="0.25">
      <c r="Z39">
        <f>Z32*3</f>
        <v>24.267857142857139</v>
      </c>
    </row>
    <row r="40" spans="13:26" x14ac:dyDescent="0.25">
      <c r="Z40">
        <f>Z32*3</f>
        <v>24.267857142857139</v>
      </c>
    </row>
    <row r="59" spans="2:17" x14ac:dyDescent="0.25">
      <c r="Q59" s="23"/>
    </row>
    <row r="63" spans="2:17" x14ac:dyDescent="0.25">
      <c r="B63" s="38" t="s">
        <v>299</v>
      </c>
    </row>
    <row r="65" spans="2:5" x14ac:dyDescent="0.25">
      <c r="B65" s="36" t="s">
        <v>347</v>
      </c>
    </row>
    <row r="66" spans="2:5" x14ac:dyDescent="0.25">
      <c r="B66" s="36"/>
      <c r="C66" s="36" t="s">
        <v>348</v>
      </c>
    </row>
    <row r="67" spans="2:5" x14ac:dyDescent="0.25">
      <c r="B67" s="36" t="s">
        <v>346</v>
      </c>
    </row>
    <row r="68" spans="2:5" x14ac:dyDescent="0.25">
      <c r="B68" s="36" t="s">
        <v>330</v>
      </c>
    </row>
    <row r="69" spans="2:5" x14ac:dyDescent="0.25">
      <c r="C69" s="36" t="s">
        <v>331</v>
      </c>
    </row>
    <row r="70" spans="2:5" x14ac:dyDescent="0.25">
      <c r="C70" s="36" t="s">
        <v>332</v>
      </c>
    </row>
    <row r="71" spans="2:5" x14ac:dyDescent="0.25">
      <c r="C71" s="36" t="s">
        <v>333</v>
      </c>
    </row>
    <row r="72" spans="2:5" x14ac:dyDescent="0.25">
      <c r="C72" s="36" t="s">
        <v>334</v>
      </c>
    </row>
    <row r="73" spans="2:5" x14ac:dyDescent="0.25">
      <c r="C73" s="36" t="s">
        <v>335</v>
      </c>
    </row>
    <row r="74" spans="2:5" x14ac:dyDescent="0.25">
      <c r="B74" s="36" t="s">
        <v>317</v>
      </c>
    </row>
    <row r="75" spans="2:5" x14ac:dyDescent="0.25">
      <c r="B75" s="36"/>
      <c r="C75" s="36" t="s">
        <v>336</v>
      </c>
    </row>
    <row r="76" spans="2:5" x14ac:dyDescent="0.25">
      <c r="B76" s="36"/>
      <c r="C76" s="36"/>
      <c r="D76" s="36" t="s">
        <v>337</v>
      </c>
    </row>
    <row r="77" spans="2:5" x14ac:dyDescent="0.25">
      <c r="B77" s="36"/>
      <c r="C77" s="36"/>
      <c r="D77" s="36" t="s">
        <v>338</v>
      </c>
    </row>
    <row r="78" spans="2:5" x14ac:dyDescent="0.25">
      <c r="B78" s="36"/>
      <c r="C78" s="36"/>
      <c r="D78" s="36" t="s">
        <v>339</v>
      </c>
    </row>
    <row r="79" spans="2:5" x14ac:dyDescent="0.25">
      <c r="B79" s="36"/>
      <c r="C79" s="36"/>
      <c r="D79" s="36"/>
      <c r="E79" s="36" t="s">
        <v>340</v>
      </c>
    </row>
    <row r="80" spans="2:5" x14ac:dyDescent="0.25">
      <c r="B80" s="36"/>
      <c r="C80" s="36" t="s">
        <v>341</v>
      </c>
      <c r="D80" s="36"/>
      <c r="E80" s="36"/>
    </row>
    <row r="81" spans="2:6" x14ac:dyDescent="0.25">
      <c r="B81" s="36"/>
      <c r="D81" s="36" t="s">
        <v>342</v>
      </c>
      <c r="E81" s="36"/>
    </row>
    <row r="82" spans="2:6" x14ac:dyDescent="0.25">
      <c r="B82" s="36"/>
      <c r="D82" s="36" t="s">
        <v>343</v>
      </c>
      <c r="E82" s="36"/>
    </row>
    <row r="83" spans="2:6" x14ac:dyDescent="0.25">
      <c r="B83" s="36"/>
      <c r="C83" s="36" t="s">
        <v>344</v>
      </c>
      <c r="D83" s="36"/>
      <c r="E83" s="36"/>
    </row>
    <row r="84" spans="2:6" x14ac:dyDescent="0.25">
      <c r="B84" s="36"/>
      <c r="C84" s="36" t="s">
        <v>345</v>
      </c>
      <c r="D84" s="36"/>
      <c r="E84" s="36"/>
    </row>
    <row r="85" spans="2:6" x14ac:dyDescent="0.25">
      <c r="B85" s="36"/>
      <c r="C85" s="36" t="s">
        <v>349</v>
      </c>
      <c r="D85" s="36"/>
      <c r="E85" s="36"/>
    </row>
    <row r="86" spans="2:6" x14ac:dyDescent="0.25">
      <c r="B86" s="36"/>
      <c r="C86" s="36"/>
      <c r="D86" s="36" t="s">
        <v>350</v>
      </c>
      <c r="E86" s="36"/>
    </row>
    <row r="87" spans="2:6" x14ac:dyDescent="0.25">
      <c r="B87" s="36"/>
      <c r="C87" s="36" t="s">
        <v>351</v>
      </c>
      <c r="D87" s="36"/>
      <c r="E87" s="36"/>
    </row>
    <row r="88" spans="2:6" x14ac:dyDescent="0.25">
      <c r="B88" s="36"/>
      <c r="C88" s="36"/>
      <c r="D88" s="36" t="s">
        <v>352</v>
      </c>
      <c r="E88" s="36"/>
    </row>
    <row r="89" spans="2:6" x14ac:dyDescent="0.25">
      <c r="B89" s="36"/>
      <c r="C89" s="36"/>
      <c r="D89" s="36" t="s">
        <v>353</v>
      </c>
      <c r="E89" s="36"/>
    </row>
    <row r="90" spans="2:6" x14ac:dyDescent="0.25">
      <c r="B90" s="36"/>
      <c r="C90" s="36"/>
      <c r="D90" s="36"/>
      <c r="E90" s="36" t="s">
        <v>354</v>
      </c>
    </row>
    <row r="91" spans="2:6" x14ac:dyDescent="0.25">
      <c r="B91" s="36"/>
      <c r="C91" s="36"/>
      <c r="D91" s="36"/>
      <c r="E91" s="36" t="s">
        <v>355</v>
      </c>
    </row>
    <row r="92" spans="2:6" x14ac:dyDescent="0.25">
      <c r="B92" s="36"/>
      <c r="C92" s="36"/>
      <c r="D92" s="36"/>
      <c r="E92" s="36"/>
      <c r="F92" s="36" t="s">
        <v>356</v>
      </c>
    </row>
    <row r="93" spans="2:6" x14ac:dyDescent="0.25">
      <c r="B93" s="36"/>
      <c r="C93" s="36"/>
      <c r="D93" s="36"/>
      <c r="E93" s="36" t="s">
        <v>357</v>
      </c>
      <c r="F93" s="36"/>
    </row>
    <row r="94" spans="2:6" x14ac:dyDescent="0.25">
      <c r="B94" s="36"/>
      <c r="C94" s="36"/>
      <c r="D94" s="36" t="s">
        <v>361</v>
      </c>
      <c r="E94" s="36"/>
      <c r="F94" s="36"/>
    </row>
    <row r="95" spans="2:6" x14ac:dyDescent="0.25">
      <c r="B95" s="36"/>
      <c r="C95" s="36"/>
      <c r="D95" s="36" t="s">
        <v>362</v>
      </c>
      <c r="E95" s="36"/>
      <c r="F95" s="36"/>
    </row>
    <row r="96" spans="2:6" x14ac:dyDescent="0.25">
      <c r="B96" s="36" t="s">
        <v>318</v>
      </c>
    </row>
    <row r="97" spans="2:4" x14ac:dyDescent="0.25">
      <c r="B97" s="36"/>
      <c r="D97" s="36" t="s">
        <v>358</v>
      </c>
    </row>
    <row r="98" spans="2:4" x14ac:dyDescent="0.25">
      <c r="B98" s="36"/>
      <c r="D98" s="36" t="s">
        <v>359</v>
      </c>
    </row>
    <row r="99" spans="2:4" x14ac:dyDescent="0.25">
      <c r="B99" s="36"/>
      <c r="D99" s="36" t="s">
        <v>360</v>
      </c>
    </row>
    <row r="100" spans="2:4" x14ac:dyDescent="0.25">
      <c r="B100" s="36" t="s">
        <v>319</v>
      </c>
    </row>
    <row r="101" spans="2:4" x14ac:dyDescent="0.25">
      <c r="B101" s="36" t="s">
        <v>386</v>
      </c>
    </row>
    <row r="102" spans="2:4" x14ac:dyDescent="0.25">
      <c r="B102" s="36"/>
      <c r="C102" s="36" t="s">
        <v>387</v>
      </c>
    </row>
    <row r="103" spans="2:4" x14ac:dyDescent="0.25">
      <c r="B103" s="36"/>
      <c r="C103" s="36" t="s">
        <v>388</v>
      </c>
    </row>
    <row r="104" spans="2:4" x14ac:dyDescent="0.25">
      <c r="B104" s="36"/>
      <c r="C104" s="36" t="s">
        <v>389</v>
      </c>
    </row>
    <row r="105" spans="2:4" x14ac:dyDescent="0.25">
      <c r="B105" s="36" t="s">
        <v>320</v>
      </c>
    </row>
    <row r="106" spans="2:4" x14ac:dyDescent="0.25">
      <c r="B106" s="36"/>
      <c r="C106" s="36" t="s">
        <v>363</v>
      </c>
    </row>
    <row r="107" spans="2:4" x14ac:dyDescent="0.25">
      <c r="B107" s="36"/>
      <c r="C107" s="36" t="s">
        <v>364</v>
      </c>
    </row>
    <row r="108" spans="2:4" x14ac:dyDescent="0.25">
      <c r="B108" s="36" t="s">
        <v>321</v>
      </c>
    </row>
    <row r="109" spans="2:4" x14ac:dyDescent="0.25">
      <c r="B109" s="36"/>
      <c r="C109" s="36" t="s">
        <v>365</v>
      </c>
    </row>
    <row r="110" spans="2:4" x14ac:dyDescent="0.25">
      <c r="B110" s="36"/>
      <c r="C110" s="36" t="s">
        <v>366</v>
      </c>
    </row>
    <row r="111" spans="2:4" x14ac:dyDescent="0.25">
      <c r="B111" s="36"/>
      <c r="C111" s="36" t="s">
        <v>367</v>
      </c>
    </row>
    <row r="112" spans="2:4" x14ac:dyDescent="0.25">
      <c r="B112" s="36"/>
      <c r="C112" s="36" t="s">
        <v>368</v>
      </c>
    </row>
    <row r="113" spans="2:4" x14ac:dyDescent="0.25">
      <c r="B113" s="36"/>
      <c r="C113" s="36" t="s">
        <v>369</v>
      </c>
    </row>
    <row r="114" spans="2:4" x14ac:dyDescent="0.25">
      <c r="B114" s="36"/>
      <c r="C114" s="36" t="s">
        <v>370</v>
      </c>
    </row>
    <row r="115" spans="2:4" x14ac:dyDescent="0.25">
      <c r="B115" s="36" t="s">
        <v>322</v>
      </c>
    </row>
    <row r="116" spans="2:4" x14ac:dyDescent="0.25">
      <c r="B116" s="36"/>
      <c r="C116" s="36" t="s">
        <v>371</v>
      </c>
    </row>
    <row r="117" spans="2:4" x14ac:dyDescent="0.25">
      <c r="B117" s="36"/>
      <c r="C117" s="36" t="s">
        <v>372</v>
      </c>
    </row>
    <row r="118" spans="2:4" x14ac:dyDescent="0.25">
      <c r="B118" s="36"/>
      <c r="C118" s="36" t="s">
        <v>373</v>
      </c>
    </row>
    <row r="119" spans="2:4" x14ac:dyDescent="0.25">
      <c r="B119" s="36"/>
      <c r="C119" s="36"/>
      <c r="D119" s="36" t="s">
        <v>375</v>
      </c>
    </row>
    <row r="120" spans="2:4" x14ac:dyDescent="0.25">
      <c r="B120" s="36"/>
      <c r="C120" s="36"/>
      <c r="D120" s="36" t="s">
        <v>374</v>
      </c>
    </row>
    <row r="121" spans="2:4" x14ac:dyDescent="0.25">
      <c r="B121" s="36" t="s">
        <v>323</v>
      </c>
    </row>
    <row r="122" spans="2:4" x14ac:dyDescent="0.25">
      <c r="B122" s="36"/>
      <c r="C122" s="36" t="s">
        <v>376</v>
      </c>
    </row>
    <row r="123" spans="2:4" x14ac:dyDescent="0.25">
      <c r="B123" s="36" t="s">
        <v>324</v>
      </c>
    </row>
    <row r="124" spans="2:4" x14ac:dyDescent="0.25">
      <c r="B124" s="36" t="s">
        <v>12</v>
      </c>
    </row>
    <row r="125" spans="2:4" x14ac:dyDescent="0.25">
      <c r="B125" s="36"/>
      <c r="C125" s="36" t="s">
        <v>382</v>
      </c>
    </row>
    <row r="126" spans="2:4" x14ac:dyDescent="0.25">
      <c r="B126" s="36"/>
      <c r="C126" s="36" t="s">
        <v>381</v>
      </c>
    </row>
    <row r="127" spans="2:4" x14ac:dyDescent="0.25">
      <c r="B127" s="36"/>
      <c r="C127" s="36" t="s">
        <v>377</v>
      </c>
    </row>
    <row r="128" spans="2:4" x14ac:dyDescent="0.25">
      <c r="B128" s="36"/>
      <c r="C128" s="36" t="s">
        <v>383</v>
      </c>
    </row>
    <row r="129" spans="2:4" x14ac:dyDescent="0.25">
      <c r="B129" s="36"/>
      <c r="C129" s="36" t="s">
        <v>384</v>
      </c>
    </row>
    <row r="130" spans="2:4" x14ac:dyDescent="0.25">
      <c r="B130" s="36"/>
      <c r="C130" s="36" t="s">
        <v>385</v>
      </c>
    </row>
    <row r="131" spans="2:4" x14ac:dyDescent="0.25">
      <c r="B131" s="36" t="s">
        <v>325</v>
      </c>
    </row>
    <row r="132" spans="2:4" x14ac:dyDescent="0.25">
      <c r="B132" s="36"/>
      <c r="C132" s="36" t="s">
        <v>14</v>
      </c>
    </row>
    <row r="133" spans="2:4" x14ac:dyDescent="0.25">
      <c r="C133" s="36" t="s">
        <v>13</v>
      </c>
      <c r="D133" s="36" t="s">
        <v>380</v>
      </c>
    </row>
    <row r="134" spans="2:4" x14ac:dyDescent="0.25">
      <c r="C134" s="36"/>
      <c r="D134" s="36" t="s">
        <v>390</v>
      </c>
    </row>
    <row r="135" spans="2:4" x14ac:dyDescent="0.25">
      <c r="D135" s="36" t="s">
        <v>379</v>
      </c>
    </row>
    <row r="136" spans="2:4" x14ac:dyDescent="0.25">
      <c r="B136" s="37"/>
      <c r="C136" s="36" t="s">
        <v>378</v>
      </c>
    </row>
    <row r="137" spans="2:4" x14ac:dyDescent="0.25">
      <c r="B137" s="37"/>
      <c r="C137" s="36" t="s">
        <v>16</v>
      </c>
    </row>
    <row r="138" spans="2:4" x14ac:dyDescent="0.25">
      <c r="B138" s="37"/>
      <c r="C138" s="36" t="s">
        <v>15</v>
      </c>
    </row>
    <row r="139" spans="2:4" x14ac:dyDescent="0.25">
      <c r="B139" s="36" t="s">
        <v>326</v>
      </c>
    </row>
    <row r="140" spans="2:4" x14ac:dyDescent="0.25">
      <c r="B140" s="36"/>
      <c r="C140" s="36" t="s">
        <v>394</v>
      </c>
    </row>
    <row r="141" spans="2:4" x14ac:dyDescent="0.25">
      <c r="B141" s="36"/>
      <c r="C141" s="36" t="s">
        <v>395</v>
      </c>
    </row>
    <row r="142" spans="2:4" x14ac:dyDescent="0.25">
      <c r="B142" s="36"/>
      <c r="C142" s="36"/>
      <c r="D142" s="36" t="s">
        <v>396</v>
      </c>
    </row>
    <row r="143" spans="2:4" x14ac:dyDescent="0.25">
      <c r="B143" s="36" t="s">
        <v>327</v>
      </c>
    </row>
    <row r="144" spans="2:4" x14ac:dyDescent="0.25">
      <c r="B144" s="36"/>
    </row>
    <row r="145" spans="2:3" x14ac:dyDescent="0.25">
      <c r="B145" s="36" t="s">
        <v>328</v>
      </c>
    </row>
    <row r="146" spans="2:3" x14ac:dyDescent="0.25">
      <c r="B146" s="36"/>
    </row>
    <row r="147" spans="2:3" x14ac:dyDescent="0.25">
      <c r="B147" s="36" t="s">
        <v>329</v>
      </c>
    </row>
    <row r="148" spans="2:3" x14ac:dyDescent="0.25">
      <c r="B148" s="36"/>
      <c r="C148" s="36" t="s">
        <v>393</v>
      </c>
    </row>
    <row r="149" spans="2:3" x14ac:dyDescent="0.25">
      <c r="C149" s="36" t="s">
        <v>391</v>
      </c>
    </row>
    <row r="150" spans="2:3" x14ac:dyDescent="0.25">
      <c r="C150" s="36" t="s">
        <v>392</v>
      </c>
    </row>
    <row r="152" spans="2:3" x14ac:dyDescent="0.25">
      <c r="B152" s="159" t="s">
        <v>618</v>
      </c>
    </row>
    <row r="154" spans="2:3" x14ac:dyDescent="0.25">
      <c r="B154" t="s">
        <v>619</v>
      </c>
    </row>
    <row r="155" spans="2:3" x14ac:dyDescent="0.25">
      <c r="B155" t="s">
        <v>620</v>
      </c>
    </row>
    <row r="156" spans="2:3" x14ac:dyDescent="0.25">
      <c r="C156" t="s">
        <v>621</v>
      </c>
    </row>
    <row r="157" spans="2:3" x14ac:dyDescent="0.25">
      <c r="B157" t="s">
        <v>622</v>
      </c>
    </row>
    <row r="158" spans="2:3" x14ac:dyDescent="0.25">
      <c r="C158" t="s">
        <v>623</v>
      </c>
    </row>
    <row r="159" spans="2:3" x14ac:dyDescent="0.25">
      <c r="C159" t="s">
        <v>624</v>
      </c>
    </row>
    <row r="160" spans="2:3" x14ac:dyDescent="0.25">
      <c r="B160" t="s">
        <v>625</v>
      </c>
    </row>
    <row r="161" spans="2:6" x14ac:dyDescent="0.25">
      <c r="B161" t="s">
        <v>626</v>
      </c>
    </row>
    <row r="162" spans="2:6" x14ac:dyDescent="0.25">
      <c r="B162" t="s">
        <v>627</v>
      </c>
    </row>
    <row r="164" spans="2:6" x14ac:dyDescent="0.25">
      <c r="B164" t="s">
        <v>628</v>
      </c>
    </row>
    <row r="166" spans="2:6" x14ac:dyDescent="0.25">
      <c r="B166" t="s">
        <v>629</v>
      </c>
      <c r="D166" t="s">
        <v>357</v>
      </c>
      <c r="F166" t="s">
        <v>630</v>
      </c>
    </row>
    <row r="167" spans="2:6" x14ac:dyDescent="0.25">
      <c r="F167" t="s">
        <v>631</v>
      </c>
    </row>
    <row r="168" spans="2:6" x14ac:dyDescent="0.25">
      <c r="F168" t="s">
        <v>632</v>
      </c>
    </row>
    <row r="169" spans="2:6" x14ac:dyDescent="0.25">
      <c r="F169" t="s">
        <v>640</v>
      </c>
    </row>
    <row r="170" spans="2:6" x14ac:dyDescent="0.25">
      <c r="F170" t="s">
        <v>641</v>
      </c>
    </row>
    <row r="171" spans="2:6" x14ac:dyDescent="0.25">
      <c r="D171" t="s">
        <v>639</v>
      </c>
      <c r="F171">
        <f>1388*0.09</f>
        <v>124.92</v>
      </c>
    </row>
    <row r="172" spans="2:6" x14ac:dyDescent="0.25">
      <c r="B172" t="s">
        <v>633</v>
      </c>
    </row>
    <row r="173" spans="2:6" x14ac:dyDescent="0.25">
      <c r="D173" t="s">
        <v>644</v>
      </c>
    </row>
    <row r="174" spans="2:6" x14ac:dyDescent="0.25">
      <c r="D174">
        <v>500</v>
      </c>
      <c r="F174" t="s">
        <v>634</v>
      </c>
    </row>
    <row r="175" spans="2:6" x14ac:dyDescent="0.25">
      <c r="F175" t="s">
        <v>635</v>
      </c>
    </row>
    <row r="176" spans="2:6" x14ac:dyDescent="0.25">
      <c r="F176" t="s">
        <v>636</v>
      </c>
    </row>
    <row r="177" spans="2:15" x14ac:dyDescent="0.25">
      <c r="F177" t="s">
        <v>643</v>
      </c>
    </row>
    <row r="178" spans="2:15" x14ac:dyDescent="0.25">
      <c r="D178">
        <v>3829</v>
      </c>
      <c r="F178" t="s">
        <v>638</v>
      </c>
      <c r="N178" t="s">
        <v>629</v>
      </c>
      <c r="O178" s="27">
        <v>90000</v>
      </c>
    </row>
    <row r="179" spans="2:15" x14ac:dyDescent="0.25">
      <c r="F179" t="s">
        <v>637</v>
      </c>
      <c r="N179" t="s">
        <v>14</v>
      </c>
      <c r="O179" s="27">
        <v>75000</v>
      </c>
    </row>
    <row r="180" spans="2:15" x14ac:dyDescent="0.25">
      <c r="F180" t="s">
        <v>642</v>
      </c>
      <c r="N180" t="s">
        <v>715</v>
      </c>
      <c r="O180" s="27">
        <f ca="1">Summary!L6*1000</f>
        <v>108856.75118978297</v>
      </c>
    </row>
    <row r="181" spans="2:15" x14ac:dyDescent="0.25">
      <c r="F181" s="60">
        <f>0.076*D178</f>
        <v>291.00400000000002</v>
      </c>
      <c r="N181" t="s">
        <v>716</v>
      </c>
      <c r="O181" s="27">
        <v>245000</v>
      </c>
    </row>
    <row r="182" spans="2:15" x14ac:dyDescent="0.25">
      <c r="B182" t="s">
        <v>27</v>
      </c>
      <c r="F182" t="s">
        <v>645</v>
      </c>
    </row>
    <row r="183" spans="2:15" x14ac:dyDescent="0.25">
      <c r="F183" t="s">
        <v>646</v>
      </c>
    </row>
    <row r="185" spans="2:15" x14ac:dyDescent="0.25">
      <c r="B185" t="s">
        <v>38</v>
      </c>
    </row>
    <row r="186" spans="2:15" x14ac:dyDescent="0.25">
      <c r="D186" t="s">
        <v>647</v>
      </c>
    </row>
    <row r="187" spans="2:15" x14ac:dyDescent="0.25">
      <c r="D187" t="s">
        <v>648</v>
      </c>
    </row>
    <row r="188" spans="2:15" x14ac:dyDescent="0.25">
      <c r="D188" t="s">
        <v>649</v>
      </c>
    </row>
    <row r="189" spans="2:15" x14ac:dyDescent="0.25">
      <c r="E189" t="s">
        <v>650</v>
      </c>
    </row>
    <row r="190" spans="2:15" x14ac:dyDescent="0.25">
      <c r="B190" t="s">
        <v>651</v>
      </c>
    </row>
    <row r="191" spans="2:15" x14ac:dyDescent="0.25">
      <c r="D191" t="s">
        <v>652</v>
      </c>
    </row>
    <row r="192" spans="2:15" x14ac:dyDescent="0.25">
      <c r="B192" t="s">
        <v>653</v>
      </c>
    </row>
    <row r="193" spans="2:5" x14ac:dyDescent="0.25">
      <c r="D193" t="s">
        <v>654</v>
      </c>
    </row>
    <row r="194" spans="2:5" x14ac:dyDescent="0.25">
      <c r="E194" t="s">
        <v>655</v>
      </c>
    </row>
    <row r="195" spans="2:5" x14ac:dyDescent="0.25">
      <c r="E195" t="s">
        <v>656</v>
      </c>
    </row>
    <row r="196" spans="2:5" x14ac:dyDescent="0.25">
      <c r="D196">
        <v>29663</v>
      </c>
      <c r="E196">
        <v>29727</v>
      </c>
    </row>
    <row r="197" spans="2:5" x14ac:dyDescent="0.25">
      <c r="E197">
        <f>E196-D196</f>
        <v>64</v>
      </c>
    </row>
    <row r="198" spans="2:5" x14ac:dyDescent="0.25">
      <c r="B198" t="s">
        <v>657</v>
      </c>
    </row>
    <row r="199" spans="2:5" x14ac:dyDescent="0.25">
      <c r="D199" t="s">
        <v>658</v>
      </c>
    </row>
    <row r="200" spans="2:5" x14ac:dyDescent="0.25">
      <c r="D200" t="s">
        <v>659</v>
      </c>
    </row>
    <row r="201" spans="2:5" x14ac:dyDescent="0.25">
      <c r="D201" t="s">
        <v>660</v>
      </c>
    </row>
    <row r="202" spans="2:5" x14ac:dyDescent="0.25">
      <c r="E202" t="s">
        <v>661</v>
      </c>
    </row>
    <row r="203" spans="2:5" x14ac:dyDescent="0.25">
      <c r="B203" t="s">
        <v>662</v>
      </c>
    </row>
    <row r="204" spans="2:5" x14ac:dyDescent="0.25">
      <c r="D204" t="s">
        <v>663</v>
      </c>
    </row>
    <row r="205" spans="2:5" x14ac:dyDescent="0.25">
      <c r="D205" t="s">
        <v>664</v>
      </c>
    </row>
    <row r="206" spans="2:5" x14ac:dyDescent="0.25">
      <c r="D206" t="s">
        <v>665</v>
      </c>
    </row>
  </sheetData>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B33B0-0E94-4EC7-8A18-2AFAD306C8B8}">
  <dimension ref="A1:AN370"/>
  <sheetViews>
    <sheetView showGridLines="0" topLeftCell="A232" zoomScale="70" zoomScaleNormal="70" workbookViewId="0">
      <selection activeCell="C381" sqref="C381"/>
    </sheetView>
  </sheetViews>
  <sheetFormatPr defaultColWidth="8.85546875" defaultRowHeight="15" x14ac:dyDescent="0.25"/>
  <cols>
    <col min="1" max="2" width="8.85546875" style="6"/>
    <col min="3" max="3" width="46.85546875" style="6" customWidth="1"/>
    <col min="4" max="4" width="10.28515625" style="6" customWidth="1"/>
    <col min="5" max="5" width="9.7109375" style="6" customWidth="1"/>
    <col min="6" max="6" width="10.28515625" style="6" customWidth="1"/>
    <col min="7" max="7" width="16.42578125" style="6" customWidth="1"/>
    <col min="8" max="10" width="8.85546875" style="6" customWidth="1"/>
    <col min="11" max="11" width="15.85546875" style="6" customWidth="1"/>
    <col min="12" max="13" width="8.85546875" style="6" customWidth="1"/>
    <col min="14" max="14" width="8.85546875" style="6"/>
    <col min="15" max="15" width="64.140625" style="6" customWidth="1"/>
    <col min="16" max="28" width="8.85546875" style="6"/>
    <col min="29" max="29" width="17.28515625" style="18" customWidth="1"/>
    <col min="30" max="31" width="12.5703125" style="17" customWidth="1"/>
    <col min="32" max="32" width="15.7109375" style="17" customWidth="1"/>
    <col min="33" max="33" width="12.5703125" style="17" customWidth="1"/>
    <col min="34" max="34" width="15.7109375" style="17" customWidth="1"/>
    <col min="35" max="35" width="12.5703125" style="17" customWidth="1"/>
    <col min="36" max="36" width="17" style="17" customWidth="1"/>
    <col min="37" max="37" width="27.7109375" style="17" customWidth="1"/>
    <col min="38" max="38" width="37.5703125" style="16" customWidth="1"/>
    <col min="39" max="40" width="16" style="16" customWidth="1"/>
    <col min="41" max="16384" width="8.85546875" style="16"/>
  </cols>
  <sheetData>
    <row r="1" spans="3:40" x14ac:dyDescent="0.25">
      <c r="C1" s="9" t="s">
        <v>144</v>
      </c>
      <c r="D1" s="6" t="s">
        <v>145</v>
      </c>
    </row>
    <row r="2" spans="3:40" ht="54.6" customHeight="1" x14ac:dyDescent="0.25">
      <c r="C2" s="10" t="s">
        <v>124</v>
      </c>
      <c r="D2" s="11">
        <v>293.59389171732511</v>
      </c>
      <c r="AC2" s="19"/>
      <c r="AD2" s="32" t="s">
        <v>26</v>
      </c>
      <c r="AE2" s="32" t="s">
        <v>12</v>
      </c>
      <c r="AF2" s="32" t="s">
        <v>148</v>
      </c>
      <c r="AG2" s="32" t="s">
        <v>151</v>
      </c>
      <c r="AH2" s="32" t="s">
        <v>152</v>
      </c>
      <c r="AI2" s="32" t="s">
        <v>147</v>
      </c>
      <c r="AJ2" s="32" t="s">
        <v>177</v>
      </c>
      <c r="AK2" s="32" t="s">
        <v>154</v>
      </c>
      <c r="AL2" s="32" t="s">
        <v>304</v>
      </c>
      <c r="AM2" s="32" t="s">
        <v>16</v>
      </c>
      <c r="AN2" s="32" t="s">
        <v>25</v>
      </c>
    </row>
    <row r="3" spans="3:40" ht="14.45" customHeight="1" x14ac:dyDescent="0.25">
      <c r="C3" s="10" t="s">
        <v>125</v>
      </c>
      <c r="D3" s="11">
        <v>627.60601195350841</v>
      </c>
      <c r="AC3" s="405" t="s">
        <v>178</v>
      </c>
      <c r="AD3" s="405" t="s">
        <v>186</v>
      </c>
      <c r="AE3" s="405" t="s">
        <v>186</v>
      </c>
      <c r="AF3" s="405" t="s">
        <v>183</v>
      </c>
      <c r="AG3" s="405" t="s">
        <v>179</v>
      </c>
      <c r="AH3" s="405" t="s">
        <v>180</v>
      </c>
      <c r="AI3" s="405" t="s">
        <v>184</v>
      </c>
      <c r="AJ3" s="405" t="s">
        <v>185</v>
      </c>
      <c r="AK3" s="405" t="s">
        <v>179</v>
      </c>
      <c r="AL3" s="406" t="s">
        <v>305</v>
      </c>
      <c r="AM3" s="405" t="s">
        <v>186</v>
      </c>
      <c r="AN3" s="405" t="s">
        <v>179</v>
      </c>
    </row>
    <row r="4" spans="3:40" x14ac:dyDescent="0.25">
      <c r="C4" s="10" t="s">
        <v>126</v>
      </c>
      <c r="D4" s="11">
        <v>899.19774037920138</v>
      </c>
      <c r="AC4" s="405"/>
      <c r="AD4" s="405"/>
      <c r="AE4" s="405"/>
      <c r="AF4" s="405"/>
      <c r="AG4" s="405"/>
      <c r="AH4" s="405"/>
      <c r="AI4" s="405"/>
      <c r="AJ4" s="405"/>
      <c r="AK4" s="405"/>
      <c r="AL4" s="405"/>
      <c r="AM4" s="405"/>
      <c r="AN4" s="405"/>
    </row>
    <row r="5" spans="3:40" x14ac:dyDescent="0.25">
      <c r="C5" s="10" t="s">
        <v>127</v>
      </c>
      <c r="D5" s="11">
        <v>1021.6465960131541</v>
      </c>
      <c r="AC5" s="405"/>
      <c r="AD5" s="405"/>
      <c r="AE5" s="405"/>
      <c r="AF5" s="405"/>
      <c r="AG5" s="405"/>
      <c r="AH5" s="405"/>
      <c r="AI5" s="405"/>
      <c r="AJ5" s="405"/>
      <c r="AK5" s="405"/>
      <c r="AL5" s="405"/>
      <c r="AM5" s="405"/>
      <c r="AN5" s="405"/>
    </row>
    <row r="6" spans="3:40" x14ac:dyDescent="0.25">
      <c r="C6" s="10" t="s">
        <v>128</v>
      </c>
      <c r="D6" s="11">
        <v>1048.31782457181</v>
      </c>
      <c r="AC6" s="405"/>
      <c r="AD6" s="405"/>
      <c r="AE6" s="405"/>
      <c r="AF6" s="405"/>
      <c r="AG6" s="405"/>
      <c r="AH6" s="405"/>
      <c r="AI6" s="405"/>
      <c r="AJ6" s="405"/>
      <c r="AK6" s="405"/>
      <c r="AL6" s="405"/>
      <c r="AM6" s="405"/>
      <c r="AN6" s="405"/>
    </row>
    <row r="7" spans="3:40" x14ac:dyDescent="0.25">
      <c r="C7" s="10" t="s">
        <v>255</v>
      </c>
      <c r="D7" s="11">
        <f>D197</f>
        <v>1057.0642832588519</v>
      </c>
      <c r="AC7" s="405"/>
      <c r="AD7" s="405"/>
      <c r="AE7" s="405"/>
      <c r="AF7" s="405"/>
      <c r="AG7" s="405"/>
      <c r="AH7" s="405"/>
      <c r="AI7" s="405"/>
      <c r="AJ7" s="405"/>
      <c r="AK7" s="405"/>
      <c r="AL7" s="405"/>
      <c r="AM7" s="405"/>
      <c r="AN7" s="405"/>
    </row>
    <row r="8" spans="3:40" x14ac:dyDescent="0.25">
      <c r="C8" s="10" t="s">
        <v>130</v>
      </c>
      <c r="D8" s="11">
        <v>1192.5598457799269</v>
      </c>
      <c r="AC8" s="405"/>
      <c r="AD8" s="405"/>
      <c r="AE8" s="405"/>
      <c r="AF8" s="405"/>
      <c r="AG8" s="405"/>
      <c r="AH8" s="405"/>
      <c r="AI8" s="405"/>
      <c r="AJ8" s="405"/>
      <c r="AK8" s="405"/>
      <c r="AL8" s="405"/>
      <c r="AM8" s="405"/>
      <c r="AN8" s="405"/>
    </row>
    <row r="9" spans="3:40" x14ac:dyDescent="0.25">
      <c r="C9" s="10" t="s">
        <v>129</v>
      </c>
      <c r="D9" s="11">
        <v>1229</v>
      </c>
      <c r="AC9" s="405"/>
      <c r="AD9" s="405"/>
      <c r="AE9" s="405"/>
      <c r="AF9" s="405"/>
      <c r="AG9" s="405"/>
      <c r="AH9" s="405"/>
      <c r="AI9" s="405"/>
      <c r="AJ9" s="405"/>
      <c r="AK9" s="405"/>
      <c r="AL9" s="405"/>
      <c r="AM9" s="405"/>
      <c r="AN9" s="405"/>
    </row>
    <row r="10" spans="3:40" ht="28.15" customHeight="1" x14ac:dyDescent="0.25">
      <c r="C10" s="10" t="s">
        <v>131</v>
      </c>
      <c r="D10" s="11">
        <v>1311.4610673665793</v>
      </c>
      <c r="AC10" s="28" t="s">
        <v>181</v>
      </c>
      <c r="AD10" s="28" t="s">
        <v>182</v>
      </c>
      <c r="AE10" s="28" t="s">
        <v>182</v>
      </c>
      <c r="AF10" s="28" t="s">
        <v>182</v>
      </c>
      <c r="AG10" s="29">
        <v>2.5000000000000001E-2</v>
      </c>
      <c r="AH10" s="28" t="s">
        <v>188</v>
      </c>
      <c r="AI10" s="28"/>
      <c r="AJ10" s="28" t="s">
        <v>182</v>
      </c>
      <c r="AK10" s="28" t="s">
        <v>187</v>
      </c>
      <c r="AL10" s="28" t="s">
        <v>182</v>
      </c>
      <c r="AM10" s="28" t="s">
        <v>182</v>
      </c>
      <c r="AN10" s="33" t="s">
        <v>308</v>
      </c>
    </row>
    <row r="11" spans="3:40" ht="30" x14ac:dyDescent="0.25">
      <c r="C11" s="10" t="s">
        <v>132</v>
      </c>
      <c r="D11" s="11">
        <v>1379.3333333333333</v>
      </c>
      <c r="AC11" s="30" t="s">
        <v>300</v>
      </c>
      <c r="AD11" s="30" t="s">
        <v>301</v>
      </c>
      <c r="AE11" s="30" t="s">
        <v>302</v>
      </c>
      <c r="AF11" s="30" t="s">
        <v>303</v>
      </c>
      <c r="AG11" s="31" t="s">
        <v>303</v>
      </c>
      <c r="AH11" s="30" t="s">
        <v>303</v>
      </c>
      <c r="AI11" s="30" t="s">
        <v>303</v>
      </c>
      <c r="AJ11" s="30" t="s">
        <v>303</v>
      </c>
      <c r="AK11" s="30" t="s">
        <v>303</v>
      </c>
      <c r="AL11" s="30" t="s">
        <v>306</v>
      </c>
      <c r="AM11" s="30" t="s">
        <v>307</v>
      </c>
      <c r="AN11" s="30" t="s">
        <v>306</v>
      </c>
    </row>
    <row r="12" spans="3:40" x14ac:dyDescent="0.25">
      <c r="C12" s="10" t="s">
        <v>133</v>
      </c>
      <c r="D12" s="11">
        <v>1586.3453815261046</v>
      </c>
    </row>
    <row r="13" spans="3:40" x14ac:dyDescent="0.25">
      <c r="C13" s="10" t="s">
        <v>134</v>
      </c>
      <c r="D13" s="11">
        <v>1676</v>
      </c>
    </row>
    <row r="14" spans="3:40" x14ac:dyDescent="0.25">
      <c r="C14" s="10" t="s">
        <v>135</v>
      </c>
      <c r="D14" s="11">
        <v>1871</v>
      </c>
    </row>
    <row r="15" spans="3:40" x14ac:dyDescent="0.25">
      <c r="C15" s="10" t="s">
        <v>136</v>
      </c>
      <c r="D15" s="11">
        <v>1890</v>
      </c>
    </row>
    <row r="16" spans="3:40" x14ac:dyDescent="0.25">
      <c r="C16" s="10" t="s">
        <v>137</v>
      </c>
      <c r="D16" s="11">
        <v>1948.5111429212982</v>
      </c>
    </row>
    <row r="17" spans="3:11" x14ac:dyDescent="0.25">
      <c r="C17" s="10" t="s">
        <v>138</v>
      </c>
      <c r="D17" s="11">
        <v>1995.3837703917561</v>
      </c>
    </row>
    <row r="18" spans="3:11" x14ac:dyDescent="0.25">
      <c r="C18" s="10" t="s">
        <v>139</v>
      </c>
      <c r="D18" s="11">
        <v>2002.8531401900584</v>
      </c>
    </row>
    <row r="19" spans="3:11" x14ac:dyDescent="0.25">
      <c r="C19" s="10" t="s">
        <v>140</v>
      </c>
      <c r="D19" s="11">
        <v>2003.3747407324713</v>
      </c>
    </row>
    <row r="20" spans="3:11" x14ac:dyDescent="0.25">
      <c r="C20" s="10" t="s">
        <v>141</v>
      </c>
      <c r="D20" s="11">
        <v>2472.2912706536044</v>
      </c>
    </row>
    <row r="21" spans="3:11" x14ac:dyDescent="0.25">
      <c r="C21" s="10" t="s">
        <v>142</v>
      </c>
      <c r="D21" s="11">
        <v>3381.4041745730556</v>
      </c>
    </row>
    <row r="22" spans="3:11" x14ac:dyDescent="0.25">
      <c r="C22" s="10" t="s">
        <v>143</v>
      </c>
      <c r="D22" s="11">
        <v>3495</v>
      </c>
    </row>
    <row r="28" spans="3:11" x14ac:dyDescent="0.25">
      <c r="D28" s="6" t="s">
        <v>151</v>
      </c>
      <c r="E28" s="6" t="s">
        <v>152</v>
      </c>
      <c r="F28" s="6" t="s">
        <v>148</v>
      </c>
      <c r="G28" s="6" t="s">
        <v>129</v>
      </c>
      <c r="H28" s="6" t="s">
        <v>150</v>
      </c>
      <c r="I28" s="6" t="s">
        <v>255</v>
      </c>
      <c r="J28" s="6" t="s">
        <v>147</v>
      </c>
      <c r="K28" s="6" t="s">
        <v>149</v>
      </c>
    </row>
    <row r="29" spans="3:11" x14ac:dyDescent="0.25">
      <c r="C29" s="6" t="s">
        <v>146</v>
      </c>
      <c r="D29" s="12">
        <v>35000</v>
      </c>
      <c r="E29" s="12">
        <v>35000</v>
      </c>
      <c r="F29" s="12">
        <v>50000</v>
      </c>
      <c r="G29" s="12">
        <v>53067.827025008562</v>
      </c>
      <c r="H29" s="12">
        <v>80000</v>
      </c>
      <c r="I29" s="12">
        <v>85000</v>
      </c>
      <c r="J29" s="12">
        <v>100000</v>
      </c>
      <c r="K29" s="12">
        <v>250000</v>
      </c>
    </row>
    <row r="39" spans="3:14" x14ac:dyDescent="0.25">
      <c r="C39" s="6" t="s">
        <v>154</v>
      </c>
      <c r="D39" s="15">
        <v>4.3144483802260103E-2</v>
      </c>
      <c r="G39" s="6" t="s">
        <v>154</v>
      </c>
      <c r="H39" s="15">
        <v>5.2974110473215097E-2</v>
      </c>
    </row>
    <row r="40" spans="3:14" x14ac:dyDescent="0.25">
      <c r="C40" s="6" t="s">
        <v>153</v>
      </c>
      <c r="D40" s="15">
        <v>7.1451435039540101E-2</v>
      </c>
      <c r="G40" s="6" t="s">
        <v>155</v>
      </c>
      <c r="H40" s="15">
        <v>8.627484004948531E-2</v>
      </c>
    </row>
    <row r="41" spans="3:14" x14ac:dyDescent="0.25">
      <c r="C41" s="6" t="s">
        <v>155</v>
      </c>
      <c r="D41" s="15">
        <v>9.1669140389733353E-2</v>
      </c>
      <c r="E41" s="15"/>
      <c r="G41" s="6" t="s">
        <v>153</v>
      </c>
      <c r="H41" s="15">
        <v>0.1061883115178528</v>
      </c>
    </row>
    <row r="42" spans="3:14" x14ac:dyDescent="0.25">
      <c r="D42" s="15"/>
      <c r="E42" s="15"/>
      <c r="H42" s="15"/>
    </row>
    <row r="43" spans="3:14" x14ac:dyDescent="0.25">
      <c r="C43" s="6" t="s">
        <v>176</v>
      </c>
      <c r="D43" s="6" t="s">
        <v>169</v>
      </c>
      <c r="G43" s="6" t="s">
        <v>176</v>
      </c>
      <c r="H43" s="6" t="s">
        <v>170</v>
      </c>
      <c r="I43" s="6" t="s">
        <v>537</v>
      </c>
    </row>
    <row r="44" spans="3:14" x14ac:dyDescent="0.25">
      <c r="M44" s="6">
        <v>2022</v>
      </c>
      <c r="N44" s="6">
        <v>2023</v>
      </c>
    </row>
    <row r="45" spans="3:14" x14ac:dyDescent="0.25">
      <c r="C45" s="6" t="s">
        <v>160</v>
      </c>
      <c r="D45" s="15">
        <v>1E-3</v>
      </c>
      <c r="E45" s="15">
        <v>2.5000000000000001E-2</v>
      </c>
      <c r="G45" s="6" t="s">
        <v>431</v>
      </c>
      <c r="H45" s="15">
        <v>-2E-3</v>
      </c>
      <c r="I45" s="15">
        <v>3.7999999999999999E-2</v>
      </c>
      <c r="K45" s="6" t="str">
        <f t="shared" ref="K45:K49" si="0">G45</f>
        <v>Bharti Infratel</v>
      </c>
      <c r="L45" s="15">
        <f>I45</f>
        <v>3.7999999999999999E-2</v>
      </c>
      <c r="M45" s="6">
        <v>4.7162948899396708</v>
      </c>
      <c r="N45" s="6">
        <v>4.5348149105327069</v>
      </c>
    </row>
    <row r="46" spans="3:14" x14ac:dyDescent="0.25">
      <c r="C46" s="6" t="s">
        <v>431</v>
      </c>
      <c r="D46" s="15">
        <v>3.5000000000000003E-2</v>
      </c>
      <c r="E46" s="15">
        <v>3.5000000000000003E-2</v>
      </c>
      <c r="G46" s="6" t="s">
        <v>160</v>
      </c>
      <c r="H46" s="15">
        <v>-2E-3</v>
      </c>
      <c r="I46" s="15">
        <v>3.3000000000000002E-2</v>
      </c>
      <c r="K46" s="6" t="str">
        <f t="shared" si="0"/>
        <v>Crown Castle</v>
      </c>
      <c r="L46" s="15">
        <f>I46</f>
        <v>3.3000000000000002E-2</v>
      </c>
      <c r="M46" s="6">
        <v>17.320177502700556</v>
      </c>
      <c r="N46" s="6">
        <v>18.738423584903622</v>
      </c>
    </row>
    <row r="47" spans="3:14" x14ac:dyDescent="0.25">
      <c r="C47" s="6" t="s">
        <v>124</v>
      </c>
      <c r="D47" s="15">
        <v>0.04</v>
      </c>
      <c r="E47" s="15">
        <v>3.4000000000000002E-2</v>
      </c>
      <c r="G47" s="6" t="s">
        <v>124</v>
      </c>
      <c r="H47" s="15">
        <v>4.2999999999999997E-2</v>
      </c>
      <c r="I47" s="15">
        <v>3.5000000000000003E-2</v>
      </c>
      <c r="K47" s="6" t="str">
        <f t="shared" si="0"/>
        <v>China Tower</v>
      </c>
      <c r="L47" s="15">
        <f>I47</f>
        <v>3.5000000000000003E-2</v>
      </c>
      <c r="M47" s="6">
        <v>3.7122045226923004</v>
      </c>
      <c r="N47" s="6">
        <v>3.07005679874556</v>
      </c>
    </row>
    <row r="48" spans="3:14" x14ac:dyDescent="0.25">
      <c r="C48" s="6" t="s">
        <v>28</v>
      </c>
      <c r="D48" s="15">
        <v>6.2E-2</v>
      </c>
      <c r="E48" s="15">
        <v>5.6000000000000001E-2</v>
      </c>
      <c r="G48" s="6" t="s">
        <v>28</v>
      </c>
      <c r="H48" s="15">
        <v>6.5000000000000002E-2</v>
      </c>
      <c r="I48" s="15">
        <v>5.8999999999999997E-2</v>
      </c>
      <c r="K48" s="6" t="str">
        <f t="shared" si="0"/>
        <v>SBA</v>
      </c>
      <c r="L48" s="15">
        <f>I48</f>
        <v>5.8999999999999997E-2</v>
      </c>
      <c r="M48" s="6">
        <v>27.308399329959919</v>
      </c>
      <c r="N48" s="6">
        <v>23.342936494603151</v>
      </c>
    </row>
    <row r="49" spans="1:38" x14ac:dyDescent="0.25">
      <c r="C49" s="6" t="s">
        <v>2</v>
      </c>
      <c r="D49" s="15">
        <v>6.5000000000000002E-2</v>
      </c>
      <c r="E49" s="15">
        <v>6.5000000000000002E-2</v>
      </c>
      <c r="G49" s="6" t="s">
        <v>129</v>
      </c>
      <c r="H49" s="15">
        <v>8.2000000000000003E-2</v>
      </c>
      <c r="I49" s="15">
        <v>7.0999999999999994E-2</v>
      </c>
      <c r="K49" s="6" t="str">
        <f t="shared" si="0"/>
        <v>Telesites</v>
      </c>
      <c r="L49" s="15">
        <v>7.0999999999999994E-2</v>
      </c>
      <c r="M49" s="111">
        <v>14.455190789085586</v>
      </c>
      <c r="N49" s="111">
        <v>12</v>
      </c>
    </row>
    <row r="50" spans="1:38" x14ac:dyDescent="0.25">
      <c r="C50" s="6" t="s">
        <v>430</v>
      </c>
      <c r="D50" s="15">
        <v>7.3999999999999996E-2</v>
      </c>
      <c r="E50" s="15">
        <v>7.5999999999999998E-2</v>
      </c>
      <c r="G50" s="6" t="s">
        <v>2</v>
      </c>
      <c r="H50" s="15">
        <v>8.3000000000000004E-2</v>
      </c>
      <c r="I50" s="15">
        <v>8.3000000000000004E-2</v>
      </c>
      <c r="K50" s="6" t="s">
        <v>255</v>
      </c>
      <c r="L50" s="15">
        <f>I52</f>
        <v>0.10542961820982311</v>
      </c>
      <c r="M50" s="25">
        <f ca="1">Summary!K5</f>
        <v>9.4230026407154401</v>
      </c>
      <c r="N50" s="25">
        <f ca="1">Summary!L5</f>
        <v>11.230994907710452</v>
      </c>
    </row>
    <row r="51" spans="1:38" x14ac:dyDescent="0.25">
      <c r="C51" s="6" t="s">
        <v>136</v>
      </c>
      <c r="D51" s="15">
        <v>7.5999999999999998E-2</v>
      </c>
      <c r="E51" s="15">
        <v>5.6000000000000001E-2</v>
      </c>
      <c r="G51" s="6" t="s">
        <v>430</v>
      </c>
      <c r="H51" s="15">
        <v>9.0999999999999998E-2</v>
      </c>
      <c r="I51" s="15">
        <v>0.104</v>
      </c>
      <c r="K51" s="6" t="str">
        <f>G50</f>
        <v>AMT</v>
      </c>
      <c r="L51" s="15">
        <f>I50</f>
        <v>8.3000000000000004E-2</v>
      </c>
      <c r="M51" s="6">
        <v>21.997646435006782</v>
      </c>
      <c r="N51" s="6">
        <v>18.3</v>
      </c>
    </row>
    <row r="52" spans="1:38" x14ac:dyDescent="0.25">
      <c r="C52" s="6" t="s">
        <v>30</v>
      </c>
      <c r="D52" s="15">
        <v>7.8213027580256611E-2</v>
      </c>
      <c r="E52" s="15">
        <v>7.1999999999999995E-2</v>
      </c>
      <c r="G52" s="6" t="s">
        <v>255</v>
      </c>
      <c r="H52" s="112">
        <f>(Master!K264/Master!H264)^(1/3)-1</f>
        <v>7.817394663227395E-2</v>
      </c>
      <c r="I52" s="112">
        <f>(Master!K264/Master!I264)^(1/2)-1</f>
        <v>0.10542961820982311</v>
      </c>
      <c r="K52" s="6" t="str">
        <f>G51</f>
        <v>Vantage</v>
      </c>
      <c r="L52" s="15">
        <f>I51</f>
        <v>0.104</v>
      </c>
      <c r="M52" s="6">
        <v>17.928136673547652</v>
      </c>
      <c r="N52" s="6">
        <v>15.2</v>
      </c>
    </row>
    <row r="53" spans="1:38" x14ac:dyDescent="0.25">
      <c r="C53" s="6" t="s">
        <v>129</v>
      </c>
      <c r="D53" s="15">
        <v>8.2000000000000003E-2</v>
      </c>
      <c r="E53" s="15">
        <v>7.3999999999999996E-2</v>
      </c>
      <c r="G53" s="6" t="s">
        <v>127</v>
      </c>
      <c r="H53" s="15">
        <v>0.113</v>
      </c>
      <c r="I53" s="15">
        <v>0.1</v>
      </c>
      <c r="K53" s="6" t="str">
        <f t="shared" ref="K53:K58" si="1">G53</f>
        <v>Tower Bersama</v>
      </c>
      <c r="L53" s="15">
        <f t="shared" ref="L53:L58" si="2">I53</f>
        <v>0.1</v>
      </c>
      <c r="M53" s="6">
        <v>16.929535534766991</v>
      </c>
      <c r="N53" s="6">
        <v>13.2</v>
      </c>
    </row>
    <row r="54" spans="1:38" x14ac:dyDescent="0.25">
      <c r="C54" s="6" t="s">
        <v>132</v>
      </c>
      <c r="D54" s="15">
        <v>8.3000000000000004E-2</v>
      </c>
      <c r="E54" s="15">
        <v>6.5000000000000002E-2</v>
      </c>
      <c r="G54" s="6" t="s">
        <v>132</v>
      </c>
      <c r="H54" s="15">
        <v>0.11600000000000001</v>
      </c>
      <c r="I54" s="15">
        <v>9.4E-2</v>
      </c>
      <c r="K54" s="6" t="str">
        <f t="shared" si="1"/>
        <v>Inwit</v>
      </c>
      <c r="L54" s="15">
        <f t="shared" si="2"/>
        <v>9.4E-2</v>
      </c>
      <c r="M54" s="6">
        <v>19.210706075412968</v>
      </c>
      <c r="N54" s="6">
        <v>15.3</v>
      </c>
    </row>
    <row r="55" spans="1:38" x14ac:dyDescent="0.25">
      <c r="C55" s="6" t="s">
        <v>255</v>
      </c>
      <c r="D55" s="15">
        <f>(Master!K263/Master!H263)^(1/3)-1</f>
        <v>0.11045092337557283</v>
      </c>
      <c r="E55" s="15">
        <f>(Master!K263/Master!I263)^(1/2)-1</f>
        <v>9.6717754397834144E-2</v>
      </c>
      <c r="G55" s="6" t="s">
        <v>167</v>
      </c>
      <c r="H55" s="15">
        <v>0.122</v>
      </c>
      <c r="I55" s="15">
        <v>0.153</v>
      </c>
      <c r="K55" s="6" t="str">
        <f t="shared" si="1"/>
        <v>Mitratel</v>
      </c>
      <c r="L55" s="15">
        <f t="shared" si="2"/>
        <v>0.153</v>
      </c>
      <c r="M55" s="6">
        <v>12.403972591020249</v>
      </c>
      <c r="N55" s="6">
        <v>11.4</v>
      </c>
    </row>
    <row r="56" spans="1:38" x14ac:dyDescent="0.25">
      <c r="C56" s="6" t="s">
        <v>167</v>
      </c>
      <c r="D56" s="15">
        <v>0.105</v>
      </c>
      <c r="E56" s="15">
        <v>0.125</v>
      </c>
      <c r="G56" s="6" t="s">
        <v>136</v>
      </c>
      <c r="H56" s="15">
        <v>0.123</v>
      </c>
      <c r="I56" s="15">
        <v>9.6000000000000002E-2</v>
      </c>
      <c r="K56" s="6" t="str">
        <f t="shared" si="1"/>
        <v>Cellnex</v>
      </c>
      <c r="L56" s="15">
        <f t="shared" si="2"/>
        <v>9.6000000000000002E-2</v>
      </c>
      <c r="M56" s="6">
        <v>21.499989931060419</v>
      </c>
      <c r="N56" s="6">
        <v>17.899999999999999</v>
      </c>
    </row>
    <row r="57" spans="1:38" x14ac:dyDescent="0.25">
      <c r="C57" s="6" t="s">
        <v>127</v>
      </c>
      <c r="D57" s="15">
        <v>0.123</v>
      </c>
      <c r="E57" s="15">
        <v>9.9000000000000005E-2</v>
      </c>
      <c r="G57" s="6" t="s">
        <v>30</v>
      </c>
      <c r="H57" s="15">
        <v>0.125763120261005</v>
      </c>
      <c r="I57" s="15">
        <v>0.104</v>
      </c>
      <c r="K57" s="6" t="str">
        <f t="shared" si="1"/>
        <v>IHS</v>
      </c>
      <c r="L57" s="15">
        <f t="shared" si="2"/>
        <v>0.104</v>
      </c>
      <c r="M57" s="6">
        <v>4.8687965659908903</v>
      </c>
      <c r="N57" s="6">
        <v>3.9</v>
      </c>
    </row>
    <row r="58" spans="1:38" x14ac:dyDescent="0.25">
      <c r="C58" s="6" t="s">
        <v>166</v>
      </c>
      <c r="D58" s="15">
        <v>0.155</v>
      </c>
      <c r="E58" s="15">
        <v>7.3999999999999996E-2</v>
      </c>
      <c r="G58" s="6" t="s">
        <v>166</v>
      </c>
      <c r="H58" s="15">
        <v>0.157</v>
      </c>
      <c r="I58" s="15">
        <v>7.5999999999999998E-2</v>
      </c>
      <c r="K58" s="6" t="str">
        <f t="shared" si="1"/>
        <v>Sarana Menara</v>
      </c>
      <c r="L58" s="15">
        <f t="shared" si="2"/>
        <v>7.5999999999999998E-2</v>
      </c>
      <c r="M58" s="6">
        <v>13.916507620495301</v>
      </c>
      <c r="N58" s="6">
        <v>10.1</v>
      </c>
    </row>
    <row r="59" spans="1:38" x14ac:dyDescent="0.25">
      <c r="D59" s="15"/>
      <c r="E59" s="15"/>
    </row>
    <row r="60" spans="1:38" x14ac:dyDescent="0.25">
      <c r="D60" s="15"/>
      <c r="E60" s="15"/>
    </row>
    <row r="61" spans="1:38" x14ac:dyDescent="0.25">
      <c r="AI61" s="6"/>
      <c r="AJ61" s="6"/>
      <c r="AK61" s="219" t="s">
        <v>713</v>
      </c>
      <c r="AL61" s="218" t="s">
        <v>693</v>
      </c>
    </row>
    <row r="62" spans="1:38" x14ac:dyDescent="0.25">
      <c r="D62" s="6" t="s">
        <v>169</v>
      </c>
      <c r="E62" s="6" t="s">
        <v>170</v>
      </c>
      <c r="F62" s="6" t="s">
        <v>171</v>
      </c>
      <c r="G62" s="6" t="s">
        <v>172</v>
      </c>
      <c r="H62" s="6" t="s">
        <v>173</v>
      </c>
      <c r="AI62" s="6"/>
      <c r="AJ62" s="6" t="s">
        <v>714</v>
      </c>
      <c r="AK62" s="220">
        <f>(164001/156663)^(1/3)-1</f>
        <v>1.5375513337463786E-2</v>
      </c>
      <c r="AL62" s="35">
        <v>3.6</v>
      </c>
    </row>
    <row r="63" spans="1:38" x14ac:dyDescent="0.25">
      <c r="A63" s="6" t="s">
        <v>156</v>
      </c>
      <c r="C63" s="6" t="s">
        <v>136</v>
      </c>
      <c r="D63" s="13">
        <v>6.9371712051998102E-2</v>
      </c>
      <c r="E63" s="13">
        <v>0.10783572785847406</v>
      </c>
      <c r="F63" s="12">
        <v>107284.575</v>
      </c>
      <c r="G63" s="12">
        <v>145807.41999999998</v>
      </c>
      <c r="AI63" s="6"/>
      <c r="AJ63" s="6" t="s">
        <v>124</v>
      </c>
      <c r="AK63" s="220">
        <f>(60785/46713)^(1/3)-1</f>
        <v>9.1740832733743449E-2</v>
      </c>
      <c r="AL63" s="35">
        <v>3.5</v>
      </c>
    </row>
    <row r="64" spans="1:38" x14ac:dyDescent="0.25">
      <c r="A64" s="6" t="s">
        <v>156</v>
      </c>
      <c r="C64" s="6" t="s">
        <v>132</v>
      </c>
      <c r="D64" s="13">
        <v>7.924910204662039E-2</v>
      </c>
      <c r="E64" s="13">
        <v>0.1108338281271577</v>
      </c>
      <c r="F64" s="12">
        <v>23300</v>
      </c>
      <c r="G64" s="12">
        <v>50626.9</v>
      </c>
      <c r="AI64" s="6"/>
      <c r="AJ64" s="6" t="s">
        <v>669</v>
      </c>
      <c r="AK64" s="222">
        <f>(7621/6020)^(1/3)-1</f>
        <v>8.1778859670126991E-2</v>
      </c>
      <c r="AL64" s="221">
        <v>11.6</v>
      </c>
    </row>
    <row r="65" spans="1:40" x14ac:dyDescent="0.25">
      <c r="A65" s="6" t="s">
        <v>156</v>
      </c>
      <c r="C65" s="6" t="s">
        <v>157</v>
      </c>
      <c r="D65" s="13">
        <v>7.201349525860179E-2</v>
      </c>
      <c r="E65" s="13">
        <v>9.5927996888314437E-2</v>
      </c>
      <c r="F65" s="12">
        <v>46845</v>
      </c>
      <c r="G65" s="12">
        <v>69691.466666666674</v>
      </c>
      <c r="AI65" s="6"/>
      <c r="AJ65" s="6" t="s">
        <v>255</v>
      </c>
      <c r="AK65" s="222">
        <f>(Master!K303/Master!H303)^(1/3)-1</f>
        <v>6.5879110308041389E-2</v>
      </c>
      <c r="AL65" s="221">
        <f ca="1">Summary!L5</f>
        <v>11.230994907710452</v>
      </c>
    </row>
    <row r="66" spans="1:40" x14ac:dyDescent="0.25">
      <c r="A66" s="6" t="s">
        <v>158</v>
      </c>
      <c r="C66" s="6" t="s">
        <v>159</v>
      </c>
      <c r="D66" s="13">
        <v>6.4714198980238669E-2</v>
      </c>
      <c r="E66" s="13">
        <v>8.2875563837105037E-2</v>
      </c>
      <c r="F66" s="12">
        <v>185229.61256603996</v>
      </c>
      <c r="G66" s="12">
        <v>403800.55539396638</v>
      </c>
      <c r="AI66" s="6"/>
      <c r="AJ66" s="6" t="s">
        <v>127</v>
      </c>
      <c r="AK66" s="220">
        <f>(8596/5662)^(1/3)-1</f>
        <v>0.14932321912594748</v>
      </c>
      <c r="AL66" s="35">
        <v>11</v>
      </c>
    </row>
    <row r="67" spans="1:40" x14ac:dyDescent="0.25">
      <c r="A67" s="6" t="s">
        <v>158</v>
      </c>
      <c r="C67" s="6" t="s">
        <v>160</v>
      </c>
      <c r="D67" s="13">
        <v>8.952036502432037E-4</v>
      </c>
      <c r="E67" s="13">
        <v>-2.2459425696270685E-3</v>
      </c>
      <c r="F67" s="12">
        <v>40184</v>
      </c>
      <c r="G67" s="12">
        <v>86325.902870813385</v>
      </c>
      <c r="AI67" s="6"/>
      <c r="AJ67" s="6" t="s">
        <v>166</v>
      </c>
      <c r="AK67" s="220">
        <f>(11473/9517)^(1/3)-1</f>
        <v>6.4287532696867489E-2</v>
      </c>
      <c r="AL67" s="35">
        <v>9</v>
      </c>
    </row>
    <row r="68" spans="1:40" x14ac:dyDescent="0.25">
      <c r="A68" s="6" t="s">
        <v>158</v>
      </c>
      <c r="C68" s="6" t="s">
        <v>161</v>
      </c>
      <c r="D68" s="13">
        <v>6.155657550699245E-2</v>
      </c>
      <c r="E68" s="13">
        <v>6.5215407837227124E-2</v>
      </c>
      <c r="F68" s="12">
        <v>33477.564951384637</v>
      </c>
      <c r="G68" s="12">
        <v>63502.418477710802</v>
      </c>
      <c r="AI68" s="6"/>
      <c r="AJ68" s="6" t="s">
        <v>167</v>
      </c>
      <c r="AK68" s="220">
        <f>(8345/6142)^(1/3)-1</f>
        <v>0.10757253117803112</v>
      </c>
      <c r="AL68" s="35">
        <v>10.8</v>
      </c>
    </row>
    <row r="69" spans="1:40" x14ac:dyDescent="0.25">
      <c r="A69" s="6" t="s">
        <v>162</v>
      </c>
      <c r="C69" s="6" t="s">
        <v>163</v>
      </c>
      <c r="D69" s="13">
        <v>3.4603157541011953E-2</v>
      </c>
      <c r="E69" s="13">
        <v>-2.3929863981446697E-3</v>
      </c>
      <c r="F69" s="12">
        <v>185447</v>
      </c>
      <c r="G69" s="12">
        <v>335791</v>
      </c>
      <c r="AI69" s="6"/>
      <c r="AJ69" s="6" t="s">
        <v>132</v>
      </c>
      <c r="AK69" s="220">
        <v>0.13</v>
      </c>
      <c r="AL69" s="35">
        <v>21</v>
      </c>
    </row>
    <row r="70" spans="1:40" x14ac:dyDescent="0.25">
      <c r="A70" s="6" t="s">
        <v>164</v>
      </c>
      <c r="C70" s="6" t="s">
        <v>124</v>
      </c>
      <c r="D70" s="13">
        <v>4.0083335050331348E-2</v>
      </c>
      <c r="E70" s="13">
        <v>4.2818674859413486E-2</v>
      </c>
      <c r="F70" s="12">
        <v>3410000</v>
      </c>
      <c r="G70" s="12">
        <v>2030500</v>
      </c>
      <c r="AI70" s="6"/>
      <c r="AJ70" s="6" t="s">
        <v>136</v>
      </c>
      <c r="AK70" s="220">
        <v>0.12</v>
      </c>
      <c r="AL70" s="35">
        <v>22.8</v>
      </c>
    </row>
    <row r="71" spans="1:40" x14ac:dyDescent="0.25">
      <c r="A71" s="6" t="s">
        <v>165</v>
      </c>
      <c r="C71" s="6" t="s">
        <v>166</v>
      </c>
      <c r="D71" s="13">
        <v>0.15539318991927464</v>
      </c>
      <c r="E71" s="13">
        <v>0.15674320746771264</v>
      </c>
      <c r="F71" s="12">
        <v>28698</v>
      </c>
      <c r="G71" s="12">
        <v>53975</v>
      </c>
      <c r="AI71" s="6"/>
      <c r="AJ71" s="6" t="s">
        <v>430</v>
      </c>
      <c r="AK71" s="220">
        <v>7.3999999999999996E-2</v>
      </c>
      <c r="AL71" s="35">
        <v>22.2</v>
      </c>
    </row>
    <row r="72" spans="1:40" x14ac:dyDescent="0.25">
      <c r="A72" s="6" t="s">
        <v>165</v>
      </c>
      <c r="C72" s="6" t="s">
        <v>127</v>
      </c>
      <c r="D72" s="13">
        <v>0.12298245015899245</v>
      </c>
      <c r="E72" s="13">
        <v>0.1126853661917373</v>
      </c>
      <c r="F72" s="12">
        <v>20578</v>
      </c>
      <c r="G72" s="12">
        <v>39088</v>
      </c>
      <c r="AI72" s="6"/>
      <c r="AJ72" s="6" t="s">
        <v>30</v>
      </c>
      <c r="AK72" s="220">
        <f>(1309/890)^(1/3)-1</f>
        <v>0.13723411681485276</v>
      </c>
      <c r="AL72" s="35">
        <v>4.3</v>
      </c>
      <c r="AN72" s="220"/>
    </row>
    <row r="73" spans="1:40" x14ac:dyDescent="0.25">
      <c r="A73" s="6" t="s">
        <v>165</v>
      </c>
      <c r="C73" s="6" t="s">
        <v>167</v>
      </c>
      <c r="D73" s="13">
        <v>0.10528356927905635</v>
      </c>
      <c r="E73" s="13">
        <v>0.1215199381267078</v>
      </c>
      <c r="F73" s="12">
        <v>28206</v>
      </c>
      <c r="G73" s="12">
        <v>42594</v>
      </c>
      <c r="AI73" s="6"/>
    </row>
    <row r="74" spans="1:40" x14ac:dyDescent="0.25">
      <c r="A74" s="6" t="s">
        <v>158</v>
      </c>
      <c r="C74" s="6" t="s">
        <v>30</v>
      </c>
      <c r="D74" s="13">
        <v>7.8213027580256611E-2</v>
      </c>
      <c r="E74" s="13">
        <v>0.125763120261005</v>
      </c>
      <c r="F74" s="12">
        <v>31043</v>
      </c>
      <c r="G74" s="12">
        <v>47070</v>
      </c>
      <c r="AI74" s="6"/>
    </row>
    <row r="75" spans="1:40" x14ac:dyDescent="0.25">
      <c r="A75" s="6" t="s">
        <v>168</v>
      </c>
      <c r="C75" s="6" t="s">
        <v>129</v>
      </c>
      <c r="D75" s="13">
        <v>6.7270229611620325E-2</v>
      </c>
      <c r="E75" s="13">
        <v>6.557810689196919E-2</v>
      </c>
      <c r="F75" s="12">
        <v>20942</v>
      </c>
      <c r="G75" s="12">
        <v>24592.000000000004</v>
      </c>
      <c r="AI75" s="6"/>
    </row>
    <row r="78" spans="1:40" x14ac:dyDescent="0.25">
      <c r="D78" s="6" t="s">
        <v>190</v>
      </c>
      <c r="E78" s="6" t="s">
        <v>189</v>
      </c>
      <c r="F78" s="6" t="s">
        <v>191</v>
      </c>
    </row>
    <row r="79" spans="1:40" x14ac:dyDescent="0.25">
      <c r="C79" s="6" t="s">
        <v>12</v>
      </c>
      <c r="F79" s="6" t="e">
        <f t="shared" ref="F79:F85" si="3">E79/D79</f>
        <v>#DIV/0!</v>
      </c>
    </row>
    <row r="80" spans="1:40" x14ac:dyDescent="0.25">
      <c r="C80" s="6" t="s">
        <v>14</v>
      </c>
      <c r="F80" s="6" t="e">
        <f t="shared" si="3"/>
        <v>#DIV/0!</v>
      </c>
    </row>
    <row r="81" spans="3:18" x14ac:dyDescent="0.25">
      <c r="C81" s="6" t="s">
        <v>15</v>
      </c>
      <c r="F81" s="6" t="e">
        <f t="shared" si="3"/>
        <v>#DIV/0!</v>
      </c>
    </row>
    <row r="82" spans="3:18" x14ac:dyDescent="0.25">
      <c r="C82" s="6" t="s">
        <v>26</v>
      </c>
      <c r="F82" s="6" t="e">
        <f t="shared" si="3"/>
        <v>#DIV/0!</v>
      </c>
    </row>
    <row r="83" spans="3:18" x14ac:dyDescent="0.25">
      <c r="C83" s="6" t="s">
        <v>177</v>
      </c>
      <c r="F83" s="6" t="e">
        <f t="shared" si="3"/>
        <v>#DIV/0!</v>
      </c>
    </row>
    <row r="84" spans="3:18" x14ac:dyDescent="0.25">
      <c r="C84" s="6" t="s">
        <v>154</v>
      </c>
      <c r="F84" s="6" t="e">
        <f t="shared" si="3"/>
        <v>#DIV/0!</v>
      </c>
    </row>
    <row r="85" spans="3:18" x14ac:dyDescent="0.25">
      <c r="C85" s="6" t="s">
        <v>152</v>
      </c>
      <c r="F85" s="6" t="e">
        <f t="shared" si="3"/>
        <v>#DIV/0!</v>
      </c>
    </row>
    <row r="86" spans="3:18" x14ac:dyDescent="0.25">
      <c r="C86" s="6" t="s">
        <v>148</v>
      </c>
    </row>
    <row r="87" spans="3:18" x14ac:dyDescent="0.25">
      <c r="C87" s="6" t="s">
        <v>192</v>
      </c>
      <c r="K87" s="6">
        <v>1000</v>
      </c>
    </row>
    <row r="88" spans="3:18" x14ac:dyDescent="0.25">
      <c r="J88" s="6" t="s">
        <v>174</v>
      </c>
      <c r="K88" s="6" t="s">
        <v>171</v>
      </c>
      <c r="M88" s="6" t="s">
        <v>172</v>
      </c>
      <c r="N88" s="6" t="s">
        <v>175</v>
      </c>
    </row>
    <row r="89" spans="3:18" x14ac:dyDescent="0.25">
      <c r="D89" s="6" t="s">
        <v>227</v>
      </c>
      <c r="E89" s="6" t="s">
        <v>256</v>
      </c>
      <c r="J89" s="6" t="s">
        <v>127</v>
      </c>
      <c r="K89" s="8">
        <v>20.577999999999999</v>
      </c>
      <c r="L89" s="8"/>
      <c r="M89" s="12">
        <v>39.088000000000001</v>
      </c>
      <c r="N89" s="14">
        <f>M89/K89</f>
        <v>1.8995043250072894</v>
      </c>
      <c r="O89" s="6">
        <v>1000</v>
      </c>
      <c r="Q89" s="6" t="s">
        <v>129</v>
      </c>
      <c r="R89" s="41">
        <v>1.1742908986725242</v>
      </c>
    </row>
    <row r="90" spans="3:18" x14ac:dyDescent="0.25">
      <c r="C90" s="6" t="s">
        <v>15</v>
      </c>
      <c r="J90" s="6" t="s">
        <v>129</v>
      </c>
      <c r="K90" s="8">
        <v>20.942</v>
      </c>
      <c r="L90" s="8"/>
      <c r="M90" s="12">
        <v>24.592000000000002</v>
      </c>
      <c r="N90" s="14">
        <f>M90/K90</f>
        <v>1.1742908986725242</v>
      </c>
      <c r="Q90" s="6" t="s">
        <v>255</v>
      </c>
      <c r="R90" s="41">
        <v>1.19</v>
      </c>
    </row>
    <row r="91" spans="3:18" x14ac:dyDescent="0.25">
      <c r="C91" s="6" t="s">
        <v>209</v>
      </c>
      <c r="D91" s="6">
        <v>4000</v>
      </c>
      <c r="J91" s="6" t="s">
        <v>132</v>
      </c>
      <c r="K91" s="8">
        <v>23.3</v>
      </c>
      <c r="L91" s="8"/>
      <c r="M91" s="12">
        <v>50.626899999999999</v>
      </c>
      <c r="N91" s="14">
        <f>M91/K91</f>
        <v>2.1728283261802575</v>
      </c>
      <c r="Q91" s="6" t="s">
        <v>136</v>
      </c>
      <c r="R91" s="41">
        <v>1.3590716093156912</v>
      </c>
    </row>
    <row r="92" spans="3:18" x14ac:dyDescent="0.25">
      <c r="C92" s="24" t="s">
        <v>255</v>
      </c>
      <c r="D92" s="24">
        <v>3020</v>
      </c>
      <c r="J92" s="6" t="s">
        <v>167</v>
      </c>
      <c r="K92" s="8">
        <v>28.206</v>
      </c>
      <c r="L92" s="8"/>
      <c r="M92" s="12">
        <v>42.594000000000001</v>
      </c>
      <c r="N92" s="14">
        <f>M92/K92</f>
        <v>1.5101042331418848</v>
      </c>
      <c r="Q92" s="6" t="s">
        <v>157</v>
      </c>
      <c r="R92" s="41">
        <v>1.4877034190770984</v>
      </c>
    </row>
    <row r="93" spans="3:18" x14ac:dyDescent="0.25">
      <c r="D93" s="6">
        <f>SUM(D91:D92)</f>
        <v>7020</v>
      </c>
      <c r="E93" s="6">
        <v>17</v>
      </c>
      <c r="F93" s="26">
        <f>E93*1000000/D93</f>
        <v>2421.6524216524217</v>
      </c>
      <c r="J93" s="6" t="s">
        <v>166</v>
      </c>
      <c r="K93" s="8">
        <v>28.698</v>
      </c>
      <c r="L93" s="40"/>
      <c r="M93" s="12">
        <v>53.975000000000001</v>
      </c>
      <c r="N93" s="14">
        <f>M93/K93</f>
        <v>1.8807930866262457</v>
      </c>
      <c r="Q93" s="6" t="s">
        <v>167</v>
      </c>
      <c r="R93" s="41">
        <v>1.5101042331418848</v>
      </c>
    </row>
    <row r="94" spans="3:18" x14ac:dyDescent="0.25">
      <c r="F94" s="26"/>
      <c r="J94" s="6" t="s">
        <v>255</v>
      </c>
      <c r="K94" s="8">
        <f>F197/1000</f>
        <v>29.09</v>
      </c>
      <c r="L94" s="40">
        <f>(A175+A176)/1000</f>
        <v>5.0570000000000004</v>
      </c>
      <c r="M94" s="12">
        <f>K94*N94</f>
        <v>34.617100000000001</v>
      </c>
      <c r="N94" s="14">
        <v>1.19</v>
      </c>
      <c r="Q94" s="6" t="s">
        <v>30</v>
      </c>
      <c r="R94" s="41">
        <v>1.5162838643172374</v>
      </c>
    </row>
    <row r="95" spans="3:18" x14ac:dyDescent="0.25">
      <c r="J95" s="6" t="s">
        <v>30</v>
      </c>
      <c r="K95" s="8">
        <v>31.042999999999999</v>
      </c>
      <c r="L95" s="40"/>
      <c r="M95" s="12">
        <v>47.07</v>
      </c>
      <c r="N95" s="14">
        <f t="shared" ref="N95:N101" si="4">M95/K95</f>
        <v>1.5162838643172374</v>
      </c>
      <c r="Q95" s="6" t="s">
        <v>163</v>
      </c>
      <c r="R95" s="41">
        <v>1.8107114161997766</v>
      </c>
    </row>
    <row r="96" spans="3:18" x14ac:dyDescent="0.25">
      <c r="C96" s="6" t="s">
        <v>25</v>
      </c>
      <c r="J96" s="6" t="s">
        <v>161</v>
      </c>
      <c r="K96" s="8">
        <v>33.477564951384636</v>
      </c>
      <c r="L96" s="40"/>
      <c r="M96" s="12">
        <v>63.502418477710805</v>
      </c>
      <c r="N96" s="14">
        <f t="shared" si="4"/>
        <v>1.8968649174432963</v>
      </c>
      <c r="Q96" s="6" t="s">
        <v>166</v>
      </c>
      <c r="R96" s="41">
        <v>1.8807930866262457</v>
      </c>
    </row>
    <row r="97" spans="3:18" x14ac:dyDescent="0.25">
      <c r="C97" s="6" t="s">
        <v>257</v>
      </c>
      <c r="D97" s="6">
        <v>3500</v>
      </c>
      <c r="J97" s="6" t="s">
        <v>160</v>
      </c>
      <c r="K97" s="8">
        <v>40.183999999999997</v>
      </c>
      <c r="L97" s="40"/>
      <c r="M97" s="12">
        <v>86.32590287081338</v>
      </c>
      <c r="N97" s="14">
        <f t="shared" si="4"/>
        <v>2.148265550239234</v>
      </c>
      <c r="Q97" s="6" t="s">
        <v>161</v>
      </c>
      <c r="R97" s="41">
        <v>1.8968649174432963</v>
      </c>
    </row>
    <row r="98" spans="3:18" x14ac:dyDescent="0.25">
      <c r="C98" s="6" t="s">
        <v>209</v>
      </c>
      <c r="D98" s="6">
        <f>0.04*10000</f>
        <v>400</v>
      </c>
      <c r="J98" s="6" t="s">
        <v>157</v>
      </c>
      <c r="K98" s="8">
        <v>46.844999999999999</v>
      </c>
      <c r="L98" s="40"/>
      <c r="M98" s="12">
        <v>69.69146666666667</v>
      </c>
      <c r="N98" s="14">
        <f t="shared" si="4"/>
        <v>1.4877034190770984</v>
      </c>
      <c r="Q98" s="6" t="s">
        <v>127</v>
      </c>
      <c r="R98" s="41">
        <v>1.8995043250072894</v>
      </c>
    </row>
    <row r="99" spans="3:18" x14ac:dyDescent="0.25">
      <c r="C99" s="24" t="s">
        <v>216</v>
      </c>
      <c r="D99" s="24">
        <v>200</v>
      </c>
      <c r="J99" s="6" t="s">
        <v>136</v>
      </c>
      <c r="K99" s="8">
        <v>107.284575</v>
      </c>
      <c r="L99" s="40"/>
      <c r="M99" s="12">
        <v>145.80741999999998</v>
      </c>
      <c r="N99" s="14">
        <f t="shared" si="4"/>
        <v>1.3590716093156912</v>
      </c>
      <c r="Q99" s="6" t="s">
        <v>160</v>
      </c>
      <c r="R99" s="41">
        <v>2.148265550239234</v>
      </c>
    </row>
    <row r="100" spans="3:18" x14ac:dyDescent="0.25">
      <c r="D100" s="6">
        <f>SUM(D97:D99)</f>
        <v>4100</v>
      </c>
      <c r="E100" s="6">
        <v>4.3</v>
      </c>
      <c r="F100" s="26">
        <f>E100*1000000/D100</f>
        <v>1048.780487804878</v>
      </c>
      <c r="J100" s="6" t="s">
        <v>159</v>
      </c>
      <c r="K100" s="8">
        <v>185.22961256603995</v>
      </c>
      <c r="L100" s="40"/>
      <c r="M100" s="12">
        <v>403.80055539396636</v>
      </c>
      <c r="N100" s="14">
        <f t="shared" si="4"/>
        <v>2.1799999999999962</v>
      </c>
      <c r="Q100" s="6" t="s">
        <v>132</v>
      </c>
      <c r="R100" s="41">
        <v>2.1728283261802575</v>
      </c>
    </row>
    <row r="101" spans="3:18" x14ac:dyDescent="0.25">
      <c r="J101" s="6" t="s">
        <v>163</v>
      </c>
      <c r="K101" s="8">
        <v>185.447</v>
      </c>
      <c r="L101" s="40"/>
      <c r="M101" s="12">
        <v>335.791</v>
      </c>
      <c r="N101" s="14">
        <f t="shared" si="4"/>
        <v>1.8107114161997766</v>
      </c>
      <c r="Q101" s="6" t="s">
        <v>159</v>
      </c>
      <c r="R101" s="41">
        <v>2.1799999999999962</v>
      </c>
    </row>
    <row r="102" spans="3:18" x14ac:dyDescent="0.25">
      <c r="C102" s="20" t="s">
        <v>202</v>
      </c>
      <c r="D102" s="20" t="s">
        <v>203</v>
      </c>
      <c r="J102" s="16"/>
      <c r="K102" s="16"/>
      <c r="L102" s="16"/>
      <c r="M102" s="16"/>
    </row>
    <row r="103" spans="3:18" x14ac:dyDescent="0.25">
      <c r="C103" s="6" t="s">
        <v>152</v>
      </c>
      <c r="D103" s="8">
        <v>0.68493150684931503</v>
      </c>
      <c r="E103" s="12">
        <f t="shared" ref="E103:E108" si="5">D103*1000</f>
        <v>684.93150684931504</v>
      </c>
      <c r="J103" s="16"/>
      <c r="K103" s="16"/>
      <c r="L103" s="16"/>
      <c r="M103" s="16"/>
    </row>
    <row r="104" spans="3:18" x14ac:dyDescent="0.25">
      <c r="C104" s="6" t="s">
        <v>193</v>
      </c>
      <c r="D104" s="8">
        <v>0.72302932472423997</v>
      </c>
      <c r="E104" s="12">
        <f t="shared" si="5"/>
        <v>723.02932472423993</v>
      </c>
      <c r="J104" s="16"/>
      <c r="K104" s="16"/>
      <c r="L104" s="16"/>
      <c r="M104" s="16"/>
    </row>
    <row r="105" spans="3:18" x14ac:dyDescent="0.25">
      <c r="C105" s="10" t="s">
        <v>138</v>
      </c>
      <c r="D105" s="8">
        <v>0.8782318265891339</v>
      </c>
      <c r="E105" s="12">
        <f t="shared" si="5"/>
        <v>878.2318265891339</v>
      </c>
      <c r="J105" s="16"/>
      <c r="K105" s="16"/>
      <c r="L105" s="16"/>
      <c r="M105" s="16"/>
    </row>
    <row r="106" spans="3:18" x14ac:dyDescent="0.25">
      <c r="C106" s="10" t="s">
        <v>25</v>
      </c>
      <c r="D106" s="8">
        <f>F100/1000</f>
        <v>1.0487804878048781</v>
      </c>
      <c r="E106" s="12">
        <f t="shared" si="5"/>
        <v>1048.780487804878</v>
      </c>
      <c r="J106" s="16"/>
      <c r="K106" s="16"/>
      <c r="L106" s="16"/>
      <c r="M106" s="16"/>
    </row>
    <row r="107" spans="3:18" x14ac:dyDescent="0.25">
      <c r="C107" s="10" t="s">
        <v>128</v>
      </c>
      <c r="D107" s="8">
        <v>1.1021480161335711</v>
      </c>
      <c r="E107" s="12">
        <f t="shared" si="5"/>
        <v>1102.148016133571</v>
      </c>
      <c r="J107" s="16"/>
      <c r="K107" s="16"/>
      <c r="L107" s="16"/>
      <c r="M107" s="16"/>
    </row>
    <row r="108" spans="3:18" x14ac:dyDescent="0.25">
      <c r="C108" s="10" t="s">
        <v>194</v>
      </c>
      <c r="D108" s="8">
        <v>1.1604584527220632</v>
      </c>
      <c r="E108" s="12">
        <f t="shared" si="5"/>
        <v>1160.4584527220632</v>
      </c>
      <c r="J108" s="16"/>
      <c r="K108" s="16"/>
      <c r="L108" s="16"/>
      <c r="M108" s="16"/>
    </row>
    <row r="109" spans="3:18" x14ac:dyDescent="0.25">
      <c r="C109" s="10" t="s">
        <v>23</v>
      </c>
      <c r="D109" s="8"/>
      <c r="E109" s="12">
        <f>F140</f>
        <v>1166.5888940737284</v>
      </c>
      <c r="J109" s="16"/>
      <c r="K109" s="16"/>
      <c r="L109" s="16"/>
      <c r="M109" s="16"/>
    </row>
    <row r="110" spans="3:18" x14ac:dyDescent="0.25">
      <c r="C110" s="10" t="s">
        <v>137</v>
      </c>
      <c r="D110" s="8">
        <v>1.4354066985645935</v>
      </c>
      <c r="E110" s="12">
        <f>D110*1000</f>
        <v>1435.4066985645934</v>
      </c>
    </row>
    <row r="111" spans="3:18" x14ac:dyDescent="0.25">
      <c r="C111" s="10" t="s">
        <v>195</v>
      </c>
      <c r="D111" s="8">
        <v>1.5533980582524272</v>
      </c>
      <c r="E111" s="12">
        <f>D111*1000</f>
        <v>1553.3980582524271</v>
      </c>
    </row>
    <row r="112" spans="3:18" x14ac:dyDescent="0.25">
      <c r="C112" s="10" t="s">
        <v>22</v>
      </c>
      <c r="D112" s="8"/>
      <c r="E112" s="12">
        <f>F146</f>
        <v>1651.5468713654338</v>
      </c>
    </row>
    <row r="113" spans="3:5" x14ac:dyDescent="0.25">
      <c r="C113" s="10" t="s">
        <v>196</v>
      </c>
      <c r="D113" s="8">
        <v>1.8396226415094341</v>
      </c>
      <c r="E113" s="12">
        <f>D113*1000</f>
        <v>1839.6226415094341</v>
      </c>
    </row>
    <row r="114" spans="3:5" x14ac:dyDescent="0.25">
      <c r="C114" s="10" t="s">
        <v>16</v>
      </c>
      <c r="D114" s="8"/>
      <c r="E114" s="12">
        <f>F139</f>
        <v>1908.0136573609159</v>
      </c>
    </row>
    <row r="115" spans="3:5" x14ac:dyDescent="0.25">
      <c r="C115" s="10" t="s">
        <v>25</v>
      </c>
      <c r="D115" s="8"/>
      <c r="E115" s="12">
        <f>F145</f>
        <v>1943.9421338155516</v>
      </c>
    </row>
    <row r="116" spans="3:5" x14ac:dyDescent="0.25">
      <c r="C116" s="10" t="s">
        <v>14</v>
      </c>
      <c r="D116" s="8"/>
      <c r="E116" s="12">
        <f>F147</f>
        <v>2218.3382629739176</v>
      </c>
    </row>
    <row r="117" spans="3:5" x14ac:dyDescent="0.25">
      <c r="C117" s="10" t="s">
        <v>20</v>
      </c>
      <c r="D117" s="8"/>
      <c r="E117" s="12">
        <f>F142</f>
        <v>2279.9017888460189</v>
      </c>
    </row>
    <row r="118" spans="3:5" x14ac:dyDescent="0.25">
      <c r="C118" s="6" t="s">
        <v>197</v>
      </c>
      <c r="D118" s="8">
        <v>2.3625767837454719</v>
      </c>
      <c r="E118" s="12">
        <f>D118*1000</f>
        <v>2362.5767837454719</v>
      </c>
    </row>
    <row r="119" spans="3:5" x14ac:dyDescent="0.25">
      <c r="C119" s="6" t="s">
        <v>15</v>
      </c>
      <c r="D119" s="25">
        <f>F93/1000</f>
        <v>2.4216524216524218</v>
      </c>
      <c r="E119" s="12">
        <f>D119*1000</f>
        <v>2421.6524216524217</v>
      </c>
    </row>
    <row r="120" spans="3:5" x14ac:dyDescent="0.25">
      <c r="C120" s="6" t="s">
        <v>151</v>
      </c>
      <c r="D120" s="8">
        <v>2.4390243902439024</v>
      </c>
      <c r="E120" s="12">
        <f>D120*1000</f>
        <v>2439.0243902439024</v>
      </c>
    </row>
    <row r="121" spans="3:5" x14ac:dyDescent="0.25">
      <c r="C121" s="6" t="s">
        <v>154</v>
      </c>
      <c r="D121" s="8">
        <v>2.5153846153846153</v>
      </c>
      <c r="E121" s="12">
        <f>D121*1000</f>
        <v>2515.3846153846152</v>
      </c>
    </row>
    <row r="122" spans="3:5" x14ac:dyDescent="0.25">
      <c r="C122" s="6" t="s">
        <v>15</v>
      </c>
      <c r="D122" s="8"/>
      <c r="E122" s="12">
        <f>F143</f>
        <v>2608.1620128873888</v>
      </c>
    </row>
    <row r="123" spans="3:5" x14ac:dyDescent="0.25">
      <c r="C123" s="6" t="s">
        <v>399</v>
      </c>
      <c r="D123" s="8"/>
      <c r="E123" s="12">
        <f>F148</f>
        <v>2746.9978869247029</v>
      </c>
    </row>
    <row r="124" spans="3:5" x14ac:dyDescent="0.25">
      <c r="C124" s="6" t="s">
        <v>148</v>
      </c>
      <c r="D124" s="8">
        <v>2.8571428571428572</v>
      </c>
      <c r="E124" s="12">
        <f>D124*1000</f>
        <v>2857.1428571428573</v>
      </c>
    </row>
    <row r="125" spans="3:5" x14ac:dyDescent="0.25">
      <c r="C125" s="6" t="s">
        <v>17</v>
      </c>
      <c r="D125" s="8"/>
      <c r="E125" s="12">
        <f>F141</f>
        <v>3007.5187969924814</v>
      </c>
    </row>
    <row r="126" spans="3:5" x14ac:dyDescent="0.25">
      <c r="C126" s="6" t="s">
        <v>13</v>
      </c>
      <c r="D126" s="8"/>
      <c r="E126" s="12">
        <f>F137</f>
        <v>3078.3964974688738</v>
      </c>
    </row>
    <row r="127" spans="3:5" x14ac:dyDescent="0.25">
      <c r="C127" s="6" t="s">
        <v>12</v>
      </c>
      <c r="D127" s="8"/>
      <c r="E127" s="12">
        <f>F138</f>
        <v>3092.0918292931947</v>
      </c>
    </row>
    <row r="128" spans="3:5" x14ac:dyDescent="0.25">
      <c r="C128" s="6" t="s">
        <v>26</v>
      </c>
      <c r="D128" s="8">
        <v>3.45</v>
      </c>
      <c r="E128" s="12">
        <f>D128*1000</f>
        <v>3450</v>
      </c>
    </row>
    <row r="129" spans="3:6" x14ac:dyDescent="0.25">
      <c r="C129" s="6" t="s">
        <v>21</v>
      </c>
      <c r="D129" s="8"/>
      <c r="E129" s="12">
        <f>F144</f>
        <v>3689.2118501956402</v>
      </c>
    </row>
    <row r="130" spans="3:6" x14ac:dyDescent="0.25">
      <c r="C130" s="6" t="s">
        <v>198</v>
      </c>
      <c r="D130" s="8">
        <v>5.2221706864564013</v>
      </c>
      <c r="E130" s="12">
        <f>D130*1000</f>
        <v>5222.1706864564012</v>
      </c>
    </row>
    <row r="131" spans="3:6" x14ac:dyDescent="0.25">
      <c r="C131" s="6" t="s">
        <v>199</v>
      </c>
      <c r="D131" s="8">
        <v>5.4144243038542665</v>
      </c>
      <c r="E131" s="12">
        <f>D131*1000</f>
        <v>5414.4243038542663</v>
      </c>
    </row>
    <row r="132" spans="3:6" x14ac:dyDescent="0.25">
      <c r="C132" s="6" t="s">
        <v>192</v>
      </c>
      <c r="D132" s="8">
        <v>5.4979415290009905</v>
      </c>
      <c r="E132" s="12">
        <f>D132*1000</f>
        <v>5497.9415290009902</v>
      </c>
    </row>
    <row r="133" spans="3:6" x14ac:dyDescent="0.25">
      <c r="C133" s="6" t="s">
        <v>200</v>
      </c>
      <c r="D133" s="8">
        <v>6.6257912227512623</v>
      </c>
      <c r="E133" s="12">
        <f>D133*1000</f>
        <v>6625.7912227512625</v>
      </c>
    </row>
    <row r="134" spans="3:6" x14ac:dyDescent="0.25">
      <c r="C134" s="6" t="s">
        <v>201</v>
      </c>
      <c r="D134" s="8">
        <v>8.1097776556105305</v>
      </c>
      <c r="E134" s="12">
        <f>D134*1000</f>
        <v>8109.7776556105309</v>
      </c>
    </row>
    <row r="136" spans="3:6" x14ac:dyDescent="0.25">
      <c r="C136" s="39" t="s">
        <v>398</v>
      </c>
      <c r="D136" s="6" t="s">
        <v>227</v>
      </c>
      <c r="E136" s="6" t="s">
        <v>9</v>
      </c>
    </row>
    <row r="137" spans="3:6" x14ac:dyDescent="0.25">
      <c r="C137" s="6" t="s">
        <v>13</v>
      </c>
      <c r="D137" s="6">
        <v>14618</v>
      </c>
      <c r="E137" s="6">
        <v>45</v>
      </c>
      <c r="F137" s="6">
        <f t="shared" ref="F137:F148" si="6">E137*1000000/D137</f>
        <v>3078.3964974688738</v>
      </c>
    </row>
    <row r="138" spans="3:6" x14ac:dyDescent="0.25">
      <c r="C138" s="6" t="s">
        <v>12</v>
      </c>
      <c r="D138" s="6">
        <v>68562</v>
      </c>
      <c r="E138" s="6">
        <v>212</v>
      </c>
      <c r="F138" s="6">
        <f t="shared" si="6"/>
        <v>3092.0918292931947</v>
      </c>
    </row>
    <row r="139" spans="3:6" x14ac:dyDescent="0.25">
      <c r="C139" s="6" t="s">
        <v>16</v>
      </c>
      <c r="D139" s="6">
        <v>9958</v>
      </c>
      <c r="E139" s="6">
        <v>19</v>
      </c>
      <c r="F139" s="6">
        <f t="shared" si="6"/>
        <v>1908.0136573609159</v>
      </c>
    </row>
    <row r="140" spans="3:6" x14ac:dyDescent="0.25">
      <c r="C140" s="6" t="s">
        <v>23</v>
      </c>
      <c r="D140" s="6">
        <v>4286</v>
      </c>
      <c r="E140" s="6">
        <v>5</v>
      </c>
      <c r="F140" s="6">
        <f t="shared" si="6"/>
        <v>1166.5888940737284</v>
      </c>
    </row>
    <row r="141" spans="3:6" x14ac:dyDescent="0.25">
      <c r="C141" s="6" t="s">
        <v>17</v>
      </c>
      <c r="D141" s="6">
        <v>5852</v>
      </c>
      <c r="E141" s="6">
        <v>17.600000000000001</v>
      </c>
      <c r="F141" s="6">
        <f t="shared" si="6"/>
        <v>3007.5187969924814</v>
      </c>
    </row>
    <row r="142" spans="3:6" x14ac:dyDescent="0.25">
      <c r="C142" s="6" t="s">
        <v>20</v>
      </c>
      <c r="D142" s="6">
        <v>2851</v>
      </c>
      <c r="E142" s="6">
        <v>6.5</v>
      </c>
      <c r="F142" s="6">
        <f t="shared" si="6"/>
        <v>2279.9017888460189</v>
      </c>
    </row>
    <row r="143" spans="3:6" x14ac:dyDescent="0.25">
      <c r="C143" s="6" t="s">
        <v>15</v>
      </c>
      <c r="D143" s="6">
        <v>6518</v>
      </c>
      <c r="E143" s="6">
        <v>17</v>
      </c>
      <c r="F143" s="6">
        <f t="shared" si="6"/>
        <v>2608.1620128873888</v>
      </c>
    </row>
    <row r="144" spans="3:6" x14ac:dyDescent="0.25">
      <c r="C144" s="6" t="s">
        <v>21</v>
      </c>
      <c r="D144" s="6">
        <v>1789</v>
      </c>
      <c r="E144" s="6">
        <v>6.6</v>
      </c>
      <c r="F144" s="6">
        <f t="shared" si="6"/>
        <v>3689.2118501956402</v>
      </c>
    </row>
    <row r="145" spans="3:8" x14ac:dyDescent="0.25">
      <c r="C145" s="6" t="s">
        <v>25</v>
      </c>
      <c r="D145" s="6">
        <v>2212</v>
      </c>
      <c r="E145" s="6">
        <v>4.3</v>
      </c>
      <c r="F145" s="6">
        <f t="shared" si="6"/>
        <v>1943.9421338155516</v>
      </c>
    </row>
    <row r="146" spans="3:8" x14ac:dyDescent="0.25">
      <c r="C146" s="6" t="s">
        <v>22</v>
      </c>
      <c r="D146" s="6">
        <v>4299</v>
      </c>
      <c r="E146" s="6">
        <v>7.1</v>
      </c>
      <c r="F146" s="6">
        <f t="shared" si="6"/>
        <v>1651.5468713654338</v>
      </c>
    </row>
    <row r="147" spans="3:8" x14ac:dyDescent="0.25">
      <c r="C147" s="6" t="s">
        <v>14</v>
      </c>
      <c r="D147" s="6">
        <v>14876</v>
      </c>
      <c r="E147" s="6">
        <v>33</v>
      </c>
      <c r="F147" s="6">
        <f t="shared" si="6"/>
        <v>2218.3382629739176</v>
      </c>
    </row>
    <row r="148" spans="3:8" x14ac:dyDescent="0.25">
      <c r="D148" s="6">
        <f>SUM(D137:D147)</f>
        <v>135821</v>
      </c>
      <c r="E148" s="6">
        <f>SUM(E137:E147)</f>
        <v>373.10000000000008</v>
      </c>
      <c r="F148" s="6">
        <f t="shared" si="6"/>
        <v>2746.9978869247029</v>
      </c>
    </row>
    <row r="160" spans="3:8" x14ac:dyDescent="0.25">
      <c r="D160" s="6" t="s">
        <v>5</v>
      </c>
      <c r="H160" s="6" t="s">
        <v>207</v>
      </c>
    </row>
    <row r="161" spans="1:11" x14ac:dyDescent="0.25">
      <c r="A161" s="6" t="s">
        <v>227</v>
      </c>
      <c r="D161" s="22" t="s">
        <v>229</v>
      </c>
      <c r="E161" s="22" t="s">
        <v>228</v>
      </c>
      <c r="F161" s="22" t="s">
        <v>230</v>
      </c>
      <c r="G161" s="22" t="s">
        <v>231</v>
      </c>
      <c r="H161" s="6" t="str">
        <f>D161</f>
        <v>No 1</v>
      </c>
      <c r="I161" s="6" t="str">
        <f>E161</f>
        <v>No 2</v>
      </c>
      <c r="J161" s="6" t="str">
        <f>F161</f>
        <v>No 3</v>
      </c>
      <c r="K161" s="6" t="str">
        <f>G161</f>
        <v>No 4</v>
      </c>
    </row>
    <row r="162" spans="1:11" x14ac:dyDescent="0.25">
      <c r="A162" s="6">
        <v>12539</v>
      </c>
      <c r="B162" s="6">
        <v>11233</v>
      </c>
      <c r="C162" s="6" t="s">
        <v>12</v>
      </c>
      <c r="D162" s="21">
        <v>0.41499999999999998</v>
      </c>
      <c r="E162" s="21">
        <v>0.3</v>
      </c>
      <c r="F162" s="21">
        <f>100%-D162-E162</f>
        <v>0.28499999999999998</v>
      </c>
      <c r="G162" s="21"/>
      <c r="H162" s="22" t="s">
        <v>211</v>
      </c>
      <c r="I162" s="22" t="s">
        <v>212</v>
      </c>
      <c r="J162" s="22" t="s">
        <v>208</v>
      </c>
      <c r="K162" s="22"/>
    </row>
    <row r="163" spans="1:11" x14ac:dyDescent="0.25">
      <c r="A163" s="6">
        <v>4435</v>
      </c>
      <c r="B163" s="6">
        <v>4097</v>
      </c>
      <c r="C163" s="6" t="s">
        <v>13</v>
      </c>
      <c r="D163" s="21">
        <v>0.33300000000000002</v>
      </c>
      <c r="E163" s="21">
        <v>0.33300000000000002</v>
      </c>
      <c r="F163" s="21">
        <f>100%-D163-E163</f>
        <v>0.33400000000000002</v>
      </c>
      <c r="G163" s="21"/>
      <c r="H163" s="22" t="s">
        <v>213</v>
      </c>
      <c r="I163" s="22" t="s">
        <v>208</v>
      </c>
      <c r="J163" s="22" t="s">
        <v>205</v>
      </c>
      <c r="K163" s="22"/>
    </row>
    <row r="164" spans="1:11" x14ac:dyDescent="0.25">
      <c r="A164" s="6">
        <v>3264</v>
      </c>
      <c r="B164" s="6">
        <v>3020</v>
      </c>
      <c r="C164" s="6" t="s">
        <v>15</v>
      </c>
      <c r="D164" s="21">
        <v>0.6</v>
      </c>
      <c r="E164" s="21">
        <f>100%-D164</f>
        <v>0.4</v>
      </c>
      <c r="F164" s="21"/>
      <c r="G164" s="21"/>
      <c r="H164" s="22" t="s">
        <v>209</v>
      </c>
      <c r="I164" s="22" t="s">
        <v>208</v>
      </c>
      <c r="J164" s="22"/>
      <c r="K164" s="22"/>
    </row>
    <row r="165" spans="1:11" x14ac:dyDescent="0.25">
      <c r="A165" s="6">
        <v>2545</v>
      </c>
      <c r="B165" s="6">
        <v>2509</v>
      </c>
      <c r="C165" s="6" t="s">
        <v>16</v>
      </c>
      <c r="D165" s="21">
        <v>0.39300000000000002</v>
      </c>
      <c r="E165" s="21">
        <v>0.27500000000000002</v>
      </c>
      <c r="F165" s="21">
        <v>0.19</v>
      </c>
      <c r="G165" s="21">
        <f>100%-D165-E165-F165</f>
        <v>0.14199999999999996</v>
      </c>
      <c r="H165" s="22" t="s">
        <v>204</v>
      </c>
      <c r="I165" s="22" t="s">
        <v>205</v>
      </c>
      <c r="J165" s="22" t="s">
        <v>206</v>
      </c>
      <c r="K165" s="22" t="s">
        <v>208</v>
      </c>
    </row>
    <row r="166" spans="1:11" x14ac:dyDescent="0.25">
      <c r="A166" s="6">
        <v>2368</v>
      </c>
      <c r="B166" s="6">
        <v>2387</v>
      </c>
      <c r="C166" s="6" t="s">
        <v>17</v>
      </c>
      <c r="D166" s="21">
        <v>0.5</v>
      </c>
      <c r="E166" s="21">
        <v>0.3</v>
      </c>
      <c r="F166" s="21">
        <v>0.2</v>
      </c>
      <c r="G166" s="21"/>
      <c r="H166" s="22" t="s">
        <v>208</v>
      </c>
      <c r="I166" s="22" t="s">
        <v>205</v>
      </c>
      <c r="J166" s="22" t="s">
        <v>221</v>
      </c>
      <c r="K166" s="22"/>
    </row>
    <row r="167" spans="1:11" x14ac:dyDescent="0.25">
      <c r="A167" s="6">
        <v>1387</v>
      </c>
      <c r="B167" s="6">
        <v>1370</v>
      </c>
      <c r="C167" s="6" t="s">
        <v>18</v>
      </c>
      <c r="D167" s="21">
        <v>0.6</v>
      </c>
      <c r="E167" s="21">
        <v>0.38</v>
      </c>
      <c r="F167" s="21">
        <f>100%-D167-E167</f>
        <v>2.0000000000000018E-2</v>
      </c>
      <c r="G167" s="21"/>
      <c r="H167" s="22" t="s">
        <v>209</v>
      </c>
      <c r="I167" s="22" t="s">
        <v>208</v>
      </c>
      <c r="J167" s="22" t="s">
        <v>215</v>
      </c>
      <c r="K167" s="22"/>
    </row>
    <row r="168" spans="1:11" x14ac:dyDescent="0.25">
      <c r="A168" s="6">
        <v>1153</v>
      </c>
      <c r="B168" s="6">
        <v>1135</v>
      </c>
      <c r="C168" s="6" t="s">
        <v>20</v>
      </c>
      <c r="D168" s="21">
        <v>0.3</v>
      </c>
      <c r="E168" s="21">
        <f>59%-D168</f>
        <v>0.28999999999999998</v>
      </c>
      <c r="F168" s="21">
        <v>0.27</v>
      </c>
      <c r="G168" s="21">
        <f>100%-D168-E168-F168</f>
        <v>0.13999999999999996</v>
      </c>
      <c r="H168" s="22" t="s">
        <v>209</v>
      </c>
      <c r="I168" s="22" t="s">
        <v>208</v>
      </c>
      <c r="J168" s="22" t="s">
        <v>205</v>
      </c>
      <c r="K168" s="22" t="s">
        <v>216</v>
      </c>
    </row>
    <row r="169" spans="1:11" x14ac:dyDescent="0.25">
      <c r="A169" s="6">
        <v>774</v>
      </c>
      <c r="B169" s="6">
        <v>764</v>
      </c>
      <c r="C169" s="6" t="s">
        <v>21</v>
      </c>
      <c r="D169" s="21">
        <v>0.53</v>
      </c>
      <c r="E169" s="21">
        <f>100%-D169</f>
        <v>0.47</v>
      </c>
      <c r="F169" s="21"/>
      <c r="G169" s="21"/>
      <c r="H169" s="22" t="s">
        <v>209</v>
      </c>
      <c r="I169" s="22" t="s">
        <v>208</v>
      </c>
      <c r="J169" s="22"/>
      <c r="K169" s="22"/>
    </row>
    <row r="170" spans="1:11" x14ac:dyDescent="0.25">
      <c r="A170" s="6">
        <v>725</v>
      </c>
      <c r="B170" s="6">
        <v>741</v>
      </c>
      <c r="C170" s="6" t="s">
        <v>22</v>
      </c>
      <c r="D170" s="21">
        <v>0.45</v>
      </c>
      <c r="E170" s="21">
        <f>80%-D170</f>
        <v>0.35000000000000003</v>
      </c>
      <c r="F170" s="21">
        <v>0.12</v>
      </c>
      <c r="G170" s="21">
        <f>100%-D170-E170-F170</f>
        <v>8.0000000000000016E-2</v>
      </c>
      <c r="H170" s="22" t="s">
        <v>209</v>
      </c>
      <c r="I170" s="22" t="s">
        <v>214</v>
      </c>
      <c r="J170" s="22" t="s">
        <v>208</v>
      </c>
      <c r="K170" s="22" t="s">
        <v>220</v>
      </c>
    </row>
    <row r="171" spans="1:11" x14ac:dyDescent="0.25">
      <c r="A171" s="6">
        <v>564</v>
      </c>
      <c r="B171" s="6">
        <v>561</v>
      </c>
      <c r="C171" s="6" t="s">
        <v>23</v>
      </c>
      <c r="D171" s="21">
        <v>0.5</v>
      </c>
      <c r="E171" s="21">
        <v>0.25</v>
      </c>
      <c r="F171" s="21">
        <f>100%-D171-E171</f>
        <v>0.25</v>
      </c>
      <c r="G171" s="21"/>
      <c r="H171" s="22" t="s">
        <v>219</v>
      </c>
      <c r="I171" s="22" t="s">
        <v>218</v>
      </c>
      <c r="J171" s="22" t="s">
        <v>208</v>
      </c>
      <c r="K171" s="22"/>
    </row>
    <row r="172" spans="1:11" x14ac:dyDescent="0.25">
      <c r="A172" s="6">
        <v>552</v>
      </c>
      <c r="B172" s="6">
        <v>552</v>
      </c>
      <c r="C172" s="6" t="s">
        <v>24</v>
      </c>
      <c r="D172" s="21">
        <v>0.35</v>
      </c>
      <c r="E172" s="21">
        <v>0.34</v>
      </c>
      <c r="F172" s="21">
        <f>100%-D172-E172</f>
        <v>0.31</v>
      </c>
      <c r="G172" s="21"/>
      <c r="H172" s="22" t="s">
        <v>224</v>
      </c>
      <c r="I172" s="22" t="s">
        <v>205</v>
      </c>
      <c r="J172" s="22" t="s">
        <v>208</v>
      </c>
      <c r="K172" s="22"/>
    </row>
    <row r="173" spans="1:11" x14ac:dyDescent="0.25">
      <c r="A173" s="6">
        <v>98</v>
      </c>
      <c r="B173" s="6">
        <v>545</v>
      </c>
      <c r="C173" s="6" t="s">
        <v>25</v>
      </c>
      <c r="D173" s="21">
        <v>0.5</v>
      </c>
      <c r="E173" s="21">
        <f>92%-D173</f>
        <v>0.42000000000000004</v>
      </c>
      <c r="F173" s="21">
        <f>100%-D173-E173</f>
        <v>7.999999999999996E-2</v>
      </c>
      <c r="G173" s="21"/>
      <c r="H173" s="22" t="s">
        <v>209</v>
      </c>
      <c r="I173" s="22" t="s">
        <v>218</v>
      </c>
      <c r="J173" s="22" t="s">
        <v>217</v>
      </c>
      <c r="K173" s="22"/>
    </row>
    <row r="174" spans="1:11" x14ac:dyDescent="0.25">
      <c r="A174" s="6">
        <v>98</v>
      </c>
      <c r="B174" s="6">
        <v>176</v>
      </c>
      <c r="C174" s="6" t="s">
        <v>98</v>
      </c>
      <c r="D174" s="21">
        <v>0.36</v>
      </c>
      <c r="E174" s="21">
        <v>0.3</v>
      </c>
      <c r="F174" s="21">
        <f>100%-D174-E174</f>
        <v>0.34</v>
      </c>
      <c r="G174" s="21"/>
      <c r="H174" s="22" t="s">
        <v>225</v>
      </c>
      <c r="I174" s="22" t="s">
        <v>208</v>
      </c>
      <c r="J174" s="22" t="s">
        <v>226</v>
      </c>
      <c r="K174" s="22"/>
    </row>
    <row r="175" spans="1:11" x14ac:dyDescent="0.25">
      <c r="A175" s="6">
        <v>3687</v>
      </c>
      <c r="B175" s="6">
        <v>0</v>
      </c>
      <c r="C175" s="6" t="s">
        <v>14</v>
      </c>
      <c r="D175" s="21">
        <v>0.35</v>
      </c>
      <c r="E175" s="21">
        <v>0.27</v>
      </c>
      <c r="F175" s="21">
        <v>0.25</v>
      </c>
      <c r="G175" s="21">
        <v>0.12</v>
      </c>
      <c r="H175" s="22" t="s">
        <v>208</v>
      </c>
      <c r="I175" s="22" t="s">
        <v>205</v>
      </c>
      <c r="J175" s="22" t="s">
        <v>204</v>
      </c>
      <c r="K175" s="22" t="s">
        <v>210</v>
      </c>
    </row>
    <row r="176" spans="1:11" x14ac:dyDescent="0.25">
      <c r="A176" s="6">
        <v>1370</v>
      </c>
      <c r="B176" s="6">
        <v>0</v>
      </c>
      <c r="C176" s="6" t="s">
        <v>19</v>
      </c>
      <c r="D176" s="21">
        <v>0.5</v>
      </c>
      <c r="E176" s="21">
        <v>0.3</v>
      </c>
      <c r="F176" s="21">
        <f>100%-D176-E176</f>
        <v>0.2</v>
      </c>
      <c r="G176" s="21"/>
      <c r="H176" s="22" t="s">
        <v>208</v>
      </c>
      <c r="I176" s="22" t="s">
        <v>222</v>
      </c>
      <c r="J176" s="22" t="s">
        <v>223</v>
      </c>
      <c r="K176" s="22"/>
    </row>
    <row r="182" spans="3:38" x14ac:dyDescent="0.25">
      <c r="E182" s="6">
        <v>20</v>
      </c>
    </row>
    <row r="183" spans="3:38" x14ac:dyDescent="0.25">
      <c r="C183" s="16" t="s">
        <v>202</v>
      </c>
      <c r="D183" s="16" t="s">
        <v>310</v>
      </c>
      <c r="E183" s="16" t="s">
        <v>309</v>
      </c>
      <c r="F183" s="16" t="s">
        <v>227</v>
      </c>
      <c r="AC183" s="6"/>
      <c r="AD183" s="18"/>
      <c r="AL183" s="17"/>
    </row>
    <row r="184" spans="3:38" ht="15.75" x14ac:dyDescent="0.3">
      <c r="C184" s="2" t="s">
        <v>17</v>
      </c>
      <c r="D184" s="12">
        <f t="shared" ref="D184:D197" si="7">E184/F184*2*1000000/12/$E$182</f>
        <v>764.5580226225386</v>
      </c>
      <c r="E184" s="6">
        <v>219</v>
      </c>
      <c r="F184" s="6">
        <v>2387</v>
      </c>
      <c r="AC184" s="6"/>
      <c r="AD184" s="18"/>
      <c r="AL184" s="17"/>
    </row>
    <row r="185" spans="3:38" ht="15.75" x14ac:dyDescent="0.3">
      <c r="C185" s="2" t="s">
        <v>15</v>
      </c>
      <c r="D185" s="12">
        <f t="shared" si="7"/>
        <v>775.3863134657837</v>
      </c>
      <c r="E185" s="6">
        <v>281</v>
      </c>
      <c r="F185" s="6">
        <v>3020</v>
      </c>
      <c r="AC185" s="6"/>
      <c r="AD185" s="18"/>
      <c r="AL185" s="17"/>
    </row>
    <row r="186" spans="3:38" ht="15.75" x14ac:dyDescent="0.3">
      <c r="C186" s="2" t="s">
        <v>21</v>
      </c>
      <c r="D186" s="12">
        <f t="shared" si="7"/>
        <v>807.1553228621292</v>
      </c>
      <c r="E186" s="6">
        <v>74</v>
      </c>
      <c r="F186" s="6">
        <v>764</v>
      </c>
      <c r="AC186" s="6"/>
      <c r="AD186" s="18"/>
      <c r="AL186" s="17"/>
    </row>
    <row r="187" spans="3:38" ht="15.75" x14ac:dyDescent="0.3">
      <c r="C187" s="2" t="s">
        <v>23</v>
      </c>
      <c r="D187" s="12">
        <f t="shared" si="7"/>
        <v>816.99346405228755</v>
      </c>
      <c r="E187" s="6">
        <v>55</v>
      </c>
      <c r="F187" s="6">
        <v>561</v>
      </c>
      <c r="AC187" s="6"/>
      <c r="AD187" s="18"/>
      <c r="AL187" s="17"/>
    </row>
    <row r="188" spans="3:38" ht="15.75" x14ac:dyDescent="0.3">
      <c r="C188" s="2" t="s">
        <v>18</v>
      </c>
      <c r="D188" s="12">
        <f t="shared" si="7"/>
        <v>821.16788321167894</v>
      </c>
      <c r="E188" s="6">
        <v>135</v>
      </c>
      <c r="F188" s="6">
        <v>1370</v>
      </c>
      <c r="AC188" s="6"/>
      <c r="AD188" s="18"/>
      <c r="AL188" s="17"/>
    </row>
    <row r="189" spans="3:38" ht="15.75" x14ac:dyDescent="0.3">
      <c r="C189" s="2" t="s">
        <v>20</v>
      </c>
      <c r="D189" s="12">
        <f t="shared" si="7"/>
        <v>888.39941262848754</v>
      </c>
      <c r="E189" s="6">
        <v>121</v>
      </c>
      <c r="F189" s="6">
        <v>1135</v>
      </c>
      <c r="AC189" s="6"/>
      <c r="AD189" s="18"/>
      <c r="AL189" s="17"/>
    </row>
    <row r="190" spans="3:38" ht="15.75" x14ac:dyDescent="0.3">
      <c r="C190" s="2" t="s">
        <v>24</v>
      </c>
      <c r="D190" s="12">
        <f t="shared" si="7"/>
        <v>951.08695652173901</v>
      </c>
      <c r="E190" s="6">
        <v>63</v>
      </c>
      <c r="F190" s="6">
        <v>552</v>
      </c>
      <c r="AC190" s="6"/>
      <c r="AD190" s="18"/>
      <c r="AL190" s="17"/>
    </row>
    <row r="191" spans="3:38" ht="15.75" x14ac:dyDescent="0.3">
      <c r="C191" s="2" t="s">
        <v>22</v>
      </c>
      <c r="D191" s="12">
        <f t="shared" si="7"/>
        <v>967.16149347728299</v>
      </c>
      <c r="E191" s="6">
        <v>86</v>
      </c>
      <c r="F191" s="6">
        <v>741</v>
      </c>
      <c r="AC191" s="6"/>
      <c r="AD191" s="18"/>
      <c r="AL191" s="17"/>
    </row>
    <row r="192" spans="3:38" ht="15.75" x14ac:dyDescent="0.3">
      <c r="C192" s="2" t="s">
        <v>13</v>
      </c>
      <c r="D192" s="12">
        <f t="shared" si="7"/>
        <v>974.29013099015538</v>
      </c>
      <c r="E192" s="6">
        <v>479</v>
      </c>
      <c r="F192" s="6">
        <v>4097</v>
      </c>
      <c r="AC192" s="6"/>
      <c r="AD192" s="18"/>
      <c r="AL192" s="17"/>
    </row>
    <row r="193" spans="3:38" ht="15" customHeight="1" x14ac:dyDescent="0.3">
      <c r="C193" s="2" t="s">
        <v>16</v>
      </c>
      <c r="D193" s="12">
        <f t="shared" si="7"/>
        <v>1185.7313670785175</v>
      </c>
      <c r="E193" s="6">
        <v>357</v>
      </c>
      <c r="F193" s="6">
        <v>2509</v>
      </c>
      <c r="AC193" s="6"/>
      <c r="AD193" s="18"/>
      <c r="AL193" s="17"/>
    </row>
    <row r="194" spans="3:38" ht="15.75" x14ac:dyDescent="0.3">
      <c r="C194" s="2" t="s">
        <v>12</v>
      </c>
      <c r="D194" s="12">
        <f t="shared" si="7"/>
        <v>1241.8766135493636</v>
      </c>
      <c r="E194" s="6">
        <v>1674</v>
      </c>
      <c r="F194" s="6">
        <v>11233</v>
      </c>
      <c r="AC194" s="6"/>
      <c r="AD194" s="18"/>
      <c r="AL194" s="17"/>
    </row>
    <row r="195" spans="3:38" ht="15.75" x14ac:dyDescent="0.3">
      <c r="C195" s="2" t="s">
        <v>25</v>
      </c>
      <c r="D195" s="12">
        <f t="shared" si="7"/>
        <v>1498.4709480122326</v>
      </c>
      <c r="E195" s="6">
        <v>98</v>
      </c>
      <c r="F195" s="6">
        <v>545</v>
      </c>
      <c r="AC195" s="6"/>
      <c r="AD195" s="18"/>
      <c r="AL195" s="17"/>
    </row>
    <row r="196" spans="3:38" ht="15.75" x14ac:dyDescent="0.3">
      <c r="C196" s="2" t="s">
        <v>98</v>
      </c>
      <c r="D196" s="12">
        <f t="shared" si="7"/>
        <v>2272.7272727272725</v>
      </c>
      <c r="E196" s="6">
        <v>48</v>
      </c>
      <c r="F196" s="6">
        <v>176</v>
      </c>
      <c r="AC196" s="6"/>
      <c r="AD196" s="18"/>
      <c r="AL196" s="17"/>
    </row>
    <row r="197" spans="3:38" ht="14.45" customHeight="1" x14ac:dyDescent="0.25">
      <c r="C197" s="20" t="s">
        <v>311</v>
      </c>
      <c r="D197" s="34">
        <f t="shared" si="7"/>
        <v>1057.0642832588519</v>
      </c>
      <c r="E197" s="20">
        <f>SUM(E184:E196)</f>
        <v>3690</v>
      </c>
      <c r="F197" s="20">
        <f>SUM(F184:F196)</f>
        <v>29090</v>
      </c>
      <c r="AC197" s="6"/>
      <c r="AD197" s="18"/>
      <c r="AL197" s="17"/>
    </row>
    <row r="222" spans="3:8" x14ac:dyDescent="0.25">
      <c r="C222" s="24" t="s">
        <v>313</v>
      </c>
      <c r="D222" s="24" t="s">
        <v>312</v>
      </c>
      <c r="E222" s="24"/>
      <c r="F222" s="24"/>
      <c r="G222" s="24"/>
      <c r="H222" s="24"/>
    </row>
    <row r="223" spans="3:8" x14ac:dyDescent="0.25">
      <c r="C223" s="6">
        <v>2019</v>
      </c>
      <c r="D223" s="25">
        <f>Snaps!B9</f>
        <v>97.296000000000006</v>
      </c>
      <c r="E223" s="25"/>
      <c r="F223" s="25">
        <f>D223</f>
        <v>97.296000000000006</v>
      </c>
    </row>
    <row r="224" spans="3:8" x14ac:dyDescent="0.25">
      <c r="C224" s="6">
        <v>2020</v>
      </c>
      <c r="D224" s="25">
        <f>Snaps!C9</f>
        <v>102.462</v>
      </c>
      <c r="E224" s="25"/>
      <c r="F224" s="25">
        <f>D224</f>
        <v>102.462</v>
      </c>
    </row>
    <row r="225" spans="3:6" x14ac:dyDescent="0.25">
      <c r="C225" s="6">
        <v>2021</v>
      </c>
      <c r="D225" s="25">
        <f>Snaps!D9</f>
        <v>95.986999999999995</v>
      </c>
      <c r="E225" s="25"/>
      <c r="F225" s="25">
        <f>D225</f>
        <v>95.986999999999995</v>
      </c>
    </row>
    <row r="226" spans="3:6" x14ac:dyDescent="0.25">
      <c r="C226" s="22" t="s">
        <v>314</v>
      </c>
      <c r="D226" s="25"/>
      <c r="E226" s="25">
        <f>F225-F226</f>
        <v>95.586999999999989</v>
      </c>
      <c r="F226" s="6">
        <v>0.4</v>
      </c>
    </row>
    <row r="227" spans="3:6" x14ac:dyDescent="0.25">
      <c r="C227" s="22" t="s">
        <v>316</v>
      </c>
      <c r="D227" s="25"/>
      <c r="E227" s="25">
        <f>E226</f>
        <v>95.586999999999989</v>
      </c>
      <c r="F227" s="25">
        <f>F228-E226</f>
        <v>5.8021727264853666</v>
      </c>
    </row>
    <row r="228" spans="3:6" x14ac:dyDescent="0.25">
      <c r="C228" s="6">
        <v>2022</v>
      </c>
      <c r="D228" s="25">
        <f>Snaps!E9</f>
        <v>101.38917272648536</v>
      </c>
      <c r="E228" s="25"/>
      <c r="F228" s="25">
        <f>D228</f>
        <v>101.38917272648536</v>
      </c>
    </row>
    <row r="229" spans="3:6" x14ac:dyDescent="0.25">
      <c r="C229" s="22" t="s">
        <v>314</v>
      </c>
      <c r="D229" s="25"/>
      <c r="E229" s="25">
        <f>F228-F229</f>
        <v>99.389172726485356</v>
      </c>
      <c r="F229" s="6">
        <v>2</v>
      </c>
    </row>
    <row r="230" spans="3:6" x14ac:dyDescent="0.25">
      <c r="C230" s="22" t="s">
        <v>315</v>
      </c>
      <c r="D230" s="25"/>
      <c r="E230" s="25">
        <f>E229-F230</f>
        <v>98.389172726485356</v>
      </c>
      <c r="F230" s="6">
        <v>1</v>
      </c>
    </row>
    <row r="231" spans="3:6" x14ac:dyDescent="0.25">
      <c r="C231" s="22" t="s">
        <v>316</v>
      </c>
      <c r="D231" s="25"/>
      <c r="E231" s="25">
        <f>E230</f>
        <v>98.389172726485356</v>
      </c>
      <c r="F231" s="25">
        <f>F232-E230</f>
        <v>4.2635006613221123</v>
      </c>
    </row>
    <row r="232" spans="3:6" x14ac:dyDescent="0.25">
      <c r="C232" s="6">
        <v>2023</v>
      </c>
      <c r="D232" s="25">
        <f>Snaps!F9</f>
        <v>102.65267338780747</v>
      </c>
      <c r="E232" s="25"/>
      <c r="F232" s="35">
        <f>D232</f>
        <v>102.65267338780747</v>
      </c>
    </row>
    <row r="233" spans="3:6" x14ac:dyDescent="0.25">
      <c r="C233" s="22" t="s">
        <v>314</v>
      </c>
      <c r="E233" s="25">
        <f>F232-F233</f>
        <v>100.65267338780747</v>
      </c>
      <c r="F233" s="6">
        <v>2</v>
      </c>
    </row>
    <row r="234" spans="3:6" x14ac:dyDescent="0.25">
      <c r="C234" s="22" t="s">
        <v>315</v>
      </c>
      <c r="E234" s="25">
        <f>E233-F234</f>
        <v>99.652673387807468</v>
      </c>
      <c r="F234" s="6">
        <v>1</v>
      </c>
    </row>
    <row r="235" spans="3:6" x14ac:dyDescent="0.25">
      <c r="C235" s="22" t="s">
        <v>316</v>
      </c>
      <c r="E235" s="25">
        <f>E234</f>
        <v>99.652673387807468</v>
      </c>
      <c r="F235" s="25">
        <f>F236-E234</f>
        <v>7.9544358608459333</v>
      </c>
    </row>
    <row r="236" spans="3:6" x14ac:dyDescent="0.25">
      <c r="C236" s="6">
        <v>2024</v>
      </c>
      <c r="D236" s="25">
        <f>Snaps!G9</f>
        <v>107.6071092486534</v>
      </c>
      <c r="E236" s="25"/>
      <c r="F236" s="25">
        <f>D236</f>
        <v>107.6071092486534</v>
      </c>
    </row>
    <row r="239" spans="3:6" x14ac:dyDescent="0.25">
      <c r="C239" s="20" t="s">
        <v>462</v>
      </c>
    </row>
    <row r="241" spans="3:13" x14ac:dyDescent="0.25">
      <c r="C241" s="6" t="s">
        <v>146</v>
      </c>
      <c r="D241" s="62">
        <v>85000</v>
      </c>
    </row>
    <row r="242" spans="3:13" x14ac:dyDescent="0.25">
      <c r="C242" s="6" t="s">
        <v>460</v>
      </c>
      <c r="D242" s="62">
        <f>D7</f>
        <v>1057.0642832588519</v>
      </c>
    </row>
    <row r="243" spans="3:13" x14ac:dyDescent="0.25">
      <c r="C243" s="6" t="s">
        <v>458</v>
      </c>
      <c r="D243" s="62">
        <f>D242*12</f>
        <v>12684.771399106223</v>
      </c>
      <c r="E243" s="62">
        <f t="shared" ref="E243:M243" si="8">D243</f>
        <v>12684.771399106223</v>
      </c>
      <c r="F243" s="62">
        <f t="shared" si="8"/>
        <v>12684.771399106223</v>
      </c>
      <c r="G243" s="62">
        <f t="shared" si="8"/>
        <v>12684.771399106223</v>
      </c>
      <c r="H243" s="62">
        <f t="shared" si="8"/>
        <v>12684.771399106223</v>
      </c>
      <c r="I243" s="62">
        <f t="shared" si="8"/>
        <v>12684.771399106223</v>
      </c>
      <c r="J243" s="62">
        <f t="shared" si="8"/>
        <v>12684.771399106223</v>
      </c>
      <c r="K243" s="62">
        <f t="shared" si="8"/>
        <v>12684.771399106223</v>
      </c>
      <c r="L243" s="62">
        <f t="shared" si="8"/>
        <v>12684.771399106223</v>
      </c>
      <c r="M243" s="62">
        <f t="shared" si="8"/>
        <v>12684.771399106223</v>
      </c>
    </row>
    <row r="244" spans="3:13" x14ac:dyDescent="0.25">
      <c r="C244" s="64" t="s">
        <v>175</v>
      </c>
      <c r="D244" s="62"/>
      <c r="E244" s="62"/>
      <c r="F244" s="62"/>
      <c r="G244" s="62"/>
      <c r="H244" s="62"/>
      <c r="I244" s="62"/>
      <c r="J244" s="62"/>
      <c r="K244" s="62"/>
      <c r="L244" s="62"/>
      <c r="M244" s="62"/>
    </row>
    <row r="245" spans="3:13" x14ac:dyDescent="0.25">
      <c r="C245" s="63">
        <v>1.2</v>
      </c>
      <c r="D245" s="62">
        <f t="shared" ref="D245:M249" si="9">$C245*D$243</f>
        <v>15221.725678927467</v>
      </c>
      <c r="E245" s="62">
        <f t="shared" si="9"/>
        <v>15221.725678927467</v>
      </c>
      <c r="F245" s="62">
        <f t="shared" si="9"/>
        <v>15221.725678927467</v>
      </c>
      <c r="G245" s="62">
        <f t="shared" si="9"/>
        <v>15221.725678927467</v>
      </c>
      <c r="H245" s="62">
        <f t="shared" si="9"/>
        <v>15221.725678927467</v>
      </c>
      <c r="I245" s="62">
        <f t="shared" si="9"/>
        <v>15221.725678927467</v>
      </c>
      <c r="J245" s="62">
        <f t="shared" si="9"/>
        <v>15221.725678927467</v>
      </c>
      <c r="K245" s="62">
        <f t="shared" si="9"/>
        <v>15221.725678927467</v>
      </c>
      <c r="L245" s="62">
        <f t="shared" si="9"/>
        <v>15221.725678927467</v>
      </c>
      <c r="M245" s="62">
        <f t="shared" si="9"/>
        <v>15221.725678927467</v>
      </c>
    </row>
    <row r="246" spans="3:13" x14ac:dyDescent="0.25">
      <c r="C246" s="63">
        <v>1.4</v>
      </c>
      <c r="D246" s="62">
        <f t="shared" si="9"/>
        <v>17758.679958748711</v>
      </c>
      <c r="E246" s="62">
        <f t="shared" si="9"/>
        <v>17758.679958748711</v>
      </c>
      <c r="F246" s="62">
        <f t="shared" si="9"/>
        <v>17758.679958748711</v>
      </c>
      <c r="G246" s="62">
        <f t="shared" si="9"/>
        <v>17758.679958748711</v>
      </c>
      <c r="H246" s="62">
        <f t="shared" si="9"/>
        <v>17758.679958748711</v>
      </c>
      <c r="I246" s="62">
        <f t="shared" si="9"/>
        <v>17758.679958748711</v>
      </c>
      <c r="J246" s="62">
        <f t="shared" si="9"/>
        <v>17758.679958748711</v>
      </c>
      <c r="K246" s="62">
        <f t="shared" si="9"/>
        <v>17758.679958748711</v>
      </c>
      <c r="L246" s="62">
        <f t="shared" si="9"/>
        <v>17758.679958748711</v>
      </c>
      <c r="M246" s="62">
        <f t="shared" si="9"/>
        <v>17758.679958748711</v>
      </c>
    </row>
    <row r="247" spans="3:13" x14ac:dyDescent="0.25">
      <c r="C247" s="63">
        <v>1.6</v>
      </c>
      <c r="D247" s="62">
        <f t="shared" si="9"/>
        <v>20295.634238569957</v>
      </c>
      <c r="E247" s="62">
        <f t="shared" si="9"/>
        <v>20295.634238569957</v>
      </c>
      <c r="F247" s="62">
        <f t="shared" si="9"/>
        <v>20295.634238569957</v>
      </c>
      <c r="G247" s="62">
        <f t="shared" si="9"/>
        <v>20295.634238569957</v>
      </c>
      <c r="H247" s="62">
        <f t="shared" si="9"/>
        <v>20295.634238569957</v>
      </c>
      <c r="I247" s="62">
        <f t="shared" si="9"/>
        <v>20295.634238569957</v>
      </c>
      <c r="J247" s="62">
        <f t="shared" si="9"/>
        <v>20295.634238569957</v>
      </c>
      <c r="K247" s="62">
        <f t="shared" si="9"/>
        <v>20295.634238569957</v>
      </c>
      <c r="L247" s="62">
        <f t="shared" si="9"/>
        <v>20295.634238569957</v>
      </c>
      <c r="M247" s="62">
        <f t="shared" si="9"/>
        <v>20295.634238569957</v>
      </c>
    </row>
    <row r="248" spans="3:13" x14ac:dyDescent="0.25">
      <c r="C248" s="63">
        <v>1.8</v>
      </c>
      <c r="D248" s="62">
        <f t="shared" si="9"/>
        <v>22832.588518391203</v>
      </c>
      <c r="E248" s="62">
        <f t="shared" si="9"/>
        <v>22832.588518391203</v>
      </c>
      <c r="F248" s="62">
        <f t="shared" si="9"/>
        <v>22832.588518391203</v>
      </c>
      <c r="G248" s="62">
        <f t="shared" si="9"/>
        <v>22832.588518391203</v>
      </c>
      <c r="H248" s="62">
        <f t="shared" si="9"/>
        <v>22832.588518391203</v>
      </c>
      <c r="I248" s="62">
        <f t="shared" si="9"/>
        <v>22832.588518391203</v>
      </c>
      <c r="J248" s="62">
        <f t="shared" si="9"/>
        <v>22832.588518391203</v>
      </c>
      <c r="K248" s="62">
        <f t="shared" si="9"/>
        <v>22832.588518391203</v>
      </c>
      <c r="L248" s="62">
        <f t="shared" si="9"/>
        <v>22832.588518391203</v>
      </c>
      <c r="M248" s="62">
        <f t="shared" si="9"/>
        <v>22832.588518391203</v>
      </c>
    </row>
    <row r="249" spans="3:13" x14ac:dyDescent="0.25">
      <c r="C249" s="63">
        <v>2</v>
      </c>
      <c r="D249" s="62">
        <f t="shared" si="9"/>
        <v>25369.542798212446</v>
      </c>
      <c r="E249" s="62">
        <f t="shared" si="9"/>
        <v>25369.542798212446</v>
      </c>
      <c r="F249" s="62">
        <f t="shared" si="9"/>
        <v>25369.542798212446</v>
      </c>
      <c r="G249" s="62">
        <f t="shared" si="9"/>
        <v>25369.542798212446</v>
      </c>
      <c r="H249" s="62">
        <f t="shared" si="9"/>
        <v>25369.542798212446</v>
      </c>
      <c r="I249" s="62">
        <f t="shared" si="9"/>
        <v>25369.542798212446</v>
      </c>
      <c r="J249" s="62">
        <f t="shared" si="9"/>
        <v>25369.542798212446</v>
      </c>
      <c r="K249" s="62">
        <f t="shared" si="9"/>
        <v>25369.542798212446</v>
      </c>
      <c r="L249" s="62">
        <f t="shared" si="9"/>
        <v>25369.542798212446</v>
      </c>
      <c r="M249" s="62">
        <f t="shared" si="9"/>
        <v>25369.542798212446</v>
      </c>
    </row>
    <row r="250" spans="3:13" x14ac:dyDescent="0.25">
      <c r="C250" s="64" t="s">
        <v>459</v>
      </c>
    </row>
    <row r="251" spans="3:13" x14ac:dyDescent="0.25">
      <c r="C251" s="63">
        <f>C245</f>
        <v>1.2</v>
      </c>
      <c r="D251" s="62">
        <f>D245-D$241</f>
        <v>-69778.274321072531</v>
      </c>
      <c r="E251" s="62">
        <f t="shared" ref="E251:M251" si="10">E245-E$241</f>
        <v>15221.725678927467</v>
      </c>
      <c r="F251" s="62">
        <f t="shared" si="10"/>
        <v>15221.725678927467</v>
      </c>
      <c r="G251" s="62">
        <f t="shared" ref="G251:I255" si="11">G245-G$241</f>
        <v>15221.725678927467</v>
      </c>
      <c r="H251" s="62">
        <f t="shared" si="11"/>
        <v>15221.725678927467</v>
      </c>
      <c r="I251" s="62">
        <f t="shared" si="11"/>
        <v>15221.725678927467</v>
      </c>
      <c r="J251" s="62">
        <f t="shared" si="10"/>
        <v>15221.725678927467</v>
      </c>
      <c r="K251" s="62">
        <f t="shared" si="10"/>
        <v>15221.725678927467</v>
      </c>
      <c r="L251" s="62">
        <f t="shared" si="10"/>
        <v>15221.725678927467</v>
      </c>
      <c r="M251" s="62">
        <f t="shared" si="10"/>
        <v>15221.725678927467</v>
      </c>
    </row>
    <row r="252" spans="3:13" x14ac:dyDescent="0.25">
      <c r="C252" s="63">
        <f>C246</f>
        <v>1.4</v>
      </c>
      <c r="D252" s="62">
        <f>D246-D$241</f>
        <v>-67241.320041251282</v>
      </c>
      <c r="E252" s="62">
        <f t="shared" ref="E252:M252" si="12">E246-E$241</f>
        <v>17758.679958748711</v>
      </c>
      <c r="F252" s="62">
        <f t="shared" si="12"/>
        <v>17758.679958748711</v>
      </c>
      <c r="G252" s="62">
        <f t="shared" si="11"/>
        <v>17758.679958748711</v>
      </c>
      <c r="H252" s="62">
        <f t="shared" si="11"/>
        <v>17758.679958748711</v>
      </c>
      <c r="I252" s="62">
        <f t="shared" si="11"/>
        <v>17758.679958748711</v>
      </c>
      <c r="J252" s="62">
        <f t="shared" si="12"/>
        <v>17758.679958748711</v>
      </c>
      <c r="K252" s="62">
        <f t="shared" si="12"/>
        <v>17758.679958748711</v>
      </c>
      <c r="L252" s="62">
        <f t="shared" si="12"/>
        <v>17758.679958748711</v>
      </c>
      <c r="M252" s="62">
        <f t="shared" si="12"/>
        <v>17758.679958748711</v>
      </c>
    </row>
    <row r="253" spans="3:13" x14ac:dyDescent="0.25">
      <c r="C253" s="63">
        <f>C247</f>
        <v>1.6</v>
      </c>
      <c r="D253" s="62">
        <f>D247-D$241</f>
        <v>-64704.365761430046</v>
      </c>
      <c r="E253" s="62">
        <f t="shared" ref="E253:M253" si="13">E247-E$241</f>
        <v>20295.634238569957</v>
      </c>
      <c r="F253" s="62">
        <f t="shared" si="13"/>
        <v>20295.634238569957</v>
      </c>
      <c r="G253" s="62">
        <f t="shared" si="11"/>
        <v>20295.634238569957</v>
      </c>
      <c r="H253" s="62">
        <f t="shared" si="11"/>
        <v>20295.634238569957</v>
      </c>
      <c r="I253" s="62">
        <f t="shared" si="11"/>
        <v>20295.634238569957</v>
      </c>
      <c r="J253" s="62">
        <f t="shared" si="13"/>
        <v>20295.634238569957</v>
      </c>
      <c r="K253" s="62">
        <f t="shared" si="13"/>
        <v>20295.634238569957</v>
      </c>
      <c r="L253" s="62">
        <f t="shared" si="13"/>
        <v>20295.634238569957</v>
      </c>
      <c r="M253" s="62">
        <f t="shared" si="13"/>
        <v>20295.634238569957</v>
      </c>
    </row>
    <row r="254" spans="3:13" x14ac:dyDescent="0.25">
      <c r="C254" s="63">
        <f>C248</f>
        <v>1.8</v>
      </c>
      <c r="D254" s="62">
        <f>D248-D$241</f>
        <v>-62167.411481608797</v>
      </c>
      <c r="E254" s="62">
        <f t="shared" ref="E254:M254" si="14">E248-E$241</f>
        <v>22832.588518391203</v>
      </c>
      <c r="F254" s="62">
        <f t="shared" si="14"/>
        <v>22832.588518391203</v>
      </c>
      <c r="G254" s="62">
        <f t="shared" si="11"/>
        <v>22832.588518391203</v>
      </c>
      <c r="H254" s="62">
        <f t="shared" si="11"/>
        <v>22832.588518391203</v>
      </c>
      <c r="I254" s="62">
        <f t="shared" si="11"/>
        <v>22832.588518391203</v>
      </c>
      <c r="J254" s="62">
        <f t="shared" si="14"/>
        <v>22832.588518391203</v>
      </c>
      <c r="K254" s="62">
        <f t="shared" si="14"/>
        <v>22832.588518391203</v>
      </c>
      <c r="L254" s="62">
        <f t="shared" si="14"/>
        <v>22832.588518391203</v>
      </c>
      <c r="M254" s="62">
        <f t="shared" si="14"/>
        <v>22832.588518391203</v>
      </c>
    </row>
    <row r="255" spans="3:13" x14ac:dyDescent="0.25">
      <c r="C255" s="63">
        <f>C249</f>
        <v>2</v>
      </c>
      <c r="D255" s="62">
        <f>D249-D$241</f>
        <v>-59630.457201787554</v>
      </c>
      <c r="E255" s="62">
        <f t="shared" ref="E255:M255" si="15">E249-E$241</f>
        <v>25369.542798212446</v>
      </c>
      <c r="F255" s="62">
        <f t="shared" si="15"/>
        <v>25369.542798212446</v>
      </c>
      <c r="G255" s="62">
        <f t="shared" si="11"/>
        <v>25369.542798212446</v>
      </c>
      <c r="H255" s="62">
        <f t="shared" si="11"/>
        <v>25369.542798212446</v>
      </c>
      <c r="I255" s="62">
        <f t="shared" si="11"/>
        <v>25369.542798212446</v>
      </c>
      <c r="J255" s="62">
        <f t="shared" si="15"/>
        <v>25369.542798212446</v>
      </c>
      <c r="K255" s="62">
        <f t="shared" si="15"/>
        <v>25369.542798212446</v>
      </c>
      <c r="L255" s="62">
        <f t="shared" si="15"/>
        <v>25369.542798212446</v>
      </c>
      <c r="M255" s="62">
        <f t="shared" si="15"/>
        <v>25369.542798212446</v>
      </c>
    </row>
    <row r="256" spans="3:13" x14ac:dyDescent="0.25">
      <c r="C256" s="64" t="s">
        <v>464</v>
      </c>
    </row>
    <row r="257" spans="3:13" x14ac:dyDescent="0.25">
      <c r="C257" s="63">
        <f>C251</f>
        <v>1.2</v>
      </c>
      <c r="D257" s="62">
        <f>D251*(1-0.3)</f>
        <v>-48844.792024750772</v>
      </c>
      <c r="E257" s="62">
        <f t="shared" ref="E257:M257" si="16">E251*(1-0.3)</f>
        <v>10655.207975249226</v>
      </c>
      <c r="F257" s="62">
        <f t="shared" si="16"/>
        <v>10655.207975249226</v>
      </c>
      <c r="G257" s="62">
        <f t="shared" si="16"/>
        <v>10655.207975249226</v>
      </c>
      <c r="H257" s="62">
        <f t="shared" si="16"/>
        <v>10655.207975249226</v>
      </c>
      <c r="I257" s="62">
        <f t="shared" si="16"/>
        <v>10655.207975249226</v>
      </c>
      <c r="J257" s="62">
        <f t="shared" si="16"/>
        <v>10655.207975249226</v>
      </c>
      <c r="K257" s="62">
        <f t="shared" si="16"/>
        <v>10655.207975249226</v>
      </c>
      <c r="L257" s="62">
        <f t="shared" si="16"/>
        <v>10655.207975249226</v>
      </c>
      <c r="M257" s="62">
        <f t="shared" si="16"/>
        <v>10655.207975249226</v>
      </c>
    </row>
    <row r="258" spans="3:13" x14ac:dyDescent="0.25">
      <c r="C258" s="63">
        <f>C252</f>
        <v>1.4</v>
      </c>
      <c r="D258" s="62">
        <f t="shared" ref="D258:M258" si="17">D252*(1-0.3)</f>
        <v>-47068.924028875896</v>
      </c>
      <c r="E258" s="62">
        <f t="shared" si="17"/>
        <v>12431.075971124097</v>
      </c>
      <c r="F258" s="62">
        <f t="shared" si="17"/>
        <v>12431.075971124097</v>
      </c>
      <c r="G258" s="62">
        <f t="shared" si="17"/>
        <v>12431.075971124097</v>
      </c>
      <c r="H258" s="62">
        <f t="shared" si="17"/>
        <v>12431.075971124097</v>
      </c>
      <c r="I258" s="62">
        <f t="shared" si="17"/>
        <v>12431.075971124097</v>
      </c>
      <c r="J258" s="62">
        <f t="shared" si="17"/>
        <v>12431.075971124097</v>
      </c>
      <c r="K258" s="62">
        <f t="shared" si="17"/>
        <v>12431.075971124097</v>
      </c>
      <c r="L258" s="62">
        <f t="shared" si="17"/>
        <v>12431.075971124097</v>
      </c>
      <c r="M258" s="62">
        <f t="shared" si="17"/>
        <v>12431.075971124097</v>
      </c>
    </row>
    <row r="259" spans="3:13" x14ac:dyDescent="0.25">
      <c r="C259" s="63">
        <f>C253</f>
        <v>1.6</v>
      </c>
      <c r="D259" s="62">
        <f t="shared" ref="D259:M259" si="18">D253*(1-0.3)</f>
        <v>-45293.056033001027</v>
      </c>
      <c r="E259" s="62">
        <f t="shared" si="18"/>
        <v>14206.94396699897</v>
      </c>
      <c r="F259" s="62">
        <f t="shared" si="18"/>
        <v>14206.94396699897</v>
      </c>
      <c r="G259" s="62">
        <f t="shared" si="18"/>
        <v>14206.94396699897</v>
      </c>
      <c r="H259" s="62">
        <f t="shared" si="18"/>
        <v>14206.94396699897</v>
      </c>
      <c r="I259" s="62">
        <f t="shared" si="18"/>
        <v>14206.94396699897</v>
      </c>
      <c r="J259" s="62">
        <f t="shared" si="18"/>
        <v>14206.94396699897</v>
      </c>
      <c r="K259" s="62">
        <f t="shared" si="18"/>
        <v>14206.94396699897</v>
      </c>
      <c r="L259" s="62">
        <f t="shared" si="18"/>
        <v>14206.94396699897</v>
      </c>
      <c r="M259" s="62">
        <f t="shared" si="18"/>
        <v>14206.94396699897</v>
      </c>
    </row>
    <row r="260" spans="3:13" x14ac:dyDescent="0.25">
      <c r="C260" s="63">
        <f>C254</f>
        <v>1.8</v>
      </c>
      <c r="D260" s="62">
        <f t="shared" ref="D260:M260" si="19">D254*(1-0.3)</f>
        <v>-43517.188037126158</v>
      </c>
      <c r="E260" s="62">
        <f t="shared" si="19"/>
        <v>15982.81196287384</v>
      </c>
      <c r="F260" s="62">
        <f t="shared" si="19"/>
        <v>15982.81196287384</v>
      </c>
      <c r="G260" s="62">
        <f t="shared" si="19"/>
        <v>15982.81196287384</v>
      </c>
      <c r="H260" s="62">
        <f t="shared" si="19"/>
        <v>15982.81196287384</v>
      </c>
      <c r="I260" s="62">
        <f t="shared" si="19"/>
        <v>15982.81196287384</v>
      </c>
      <c r="J260" s="62">
        <f t="shared" si="19"/>
        <v>15982.81196287384</v>
      </c>
      <c r="K260" s="62">
        <f t="shared" si="19"/>
        <v>15982.81196287384</v>
      </c>
      <c r="L260" s="62">
        <f t="shared" si="19"/>
        <v>15982.81196287384</v>
      </c>
      <c r="M260" s="62">
        <f t="shared" si="19"/>
        <v>15982.81196287384</v>
      </c>
    </row>
    <row r="261" spans="3:13" x14ac:dyDescent="0.25">
      <c r="C261" s="63">
        <f>C255</f>
        <v>2</v>
      </c>
      <c r="D261" s="62">
        <f t="shared" ref="D261:M261" si="20">D255*(1-0.3)</f>
        <v>-41741.320041251289</v>
      </c>
      <c r="E261" s="62">
        <f t="shared" si="20"/>
        <v>17758.679958748711</v>
      </c>
      <c r="F261" s="62">
        <f t="shared" si="20"/>
        <v>17758.679958748711</v>
      </c>
      <c r="G261" s="62">
        <f t="shared" si="20"/>
        <v>17758.679958748711</v>
      </c>
      <c r="H261" s="62">
        <f t="shared" si="20"/>
        <v>17758.679958748711</v>
      </c>
      <c r="I261" s="62">
        <f t="shared" si="20"/>
        <v>17758.679958748711</v>
      </c>
      <c r="J261" s="62">
        <f t="shared" si="20"/>
        <v>17758.679958748711</v>
      </c>
      <c r="K261" s="62">
        <f t="shared" si="20"/>
        <v>17758.679958748711</v>
      </c>
      <c r="L261" s="62">
        <f t="shared" si="20"/>
        <v>17758.679958748711</v>
      </c>
      <c r="M261" s="62">
        <f t="shared" si="20"/>
        <v>17758.679958748711</v>
      </c>
    </row>
    <row r="262" spans="3:13" x14ac:dyDescent="0.25">
      <c r="C262" s="63" t="s">
        <v>461</v>
      </c>
    </row>
    <row r="263" spans="3:13" x14ac:dyDescent="0.25">
      <c r="C263" s="63">
        <f>C251</f>
        <v>1.2</v>
      </c>
      <c r="D263" s="21">
        <f>IRR(D257:M257)</f>
        <v>0.16140330902839684</v>
      </c>
    </row>
    <row r="264" spans="3:13" x14ac:dyDescent="0.25">
      <c r="C264" s="63">
        <f>C252</f>
        <v>1.4</v>
      </c>
      <c r="D264" s="21">
        <f>IRR(D258:M258)</f>
        <v>0.21999079202653893</v>
      </c>
    </row>
    <row r="265" spans="3:13" x14ac:dyDescent="0.25">
      <c r="C265" s="63">
        <f>C253</f>
        <v>1.6</v>
      </c>
      <c r="D265" s="21">
        <f>IRR(D259:M259)</f>
        <v>0.27955197402309295</v>
      </c>
    </row>
    <row r="266" spans="3:13" x14ac:dyDescent="0.25">
      <c r="C266" s="63">
        <f>C254</f>
        <v>1.8</v>
      </c>
      <c r="D266" s="21">
        <f>IRR(D260:M260)</f>
        <v>0.34110429807184173</v>
      </c>
    </row>
    <row r="267" spans="3:13" x14ac:dyDescent="0.25">
      <c r="C267" s="63">
        <f>C255</f>
        <v>2</v>
      </c>
      <c r="D267" s="21">
        <f>IRR(D261:M261)</f>
        <v>0.40557828408787011</v>
      </c>
    </row>
    <row r="269" spans="3:13" x14ac:dyDescent="0.25">
      <c r="C269" s="81"/>
      <c r="D269" s="66">
        <v>2022</v>
      </c>
      <c r="E269" s="66">
        <f>D269+1</f>
        <v>2023</v>
      </c>
      <c r="F269" s="66">
        <f t="shared" ref="F269:L269" si="21">E269+1</f>
        <v>2024</v>
      </c>
      <c r="G269" s="66">
        <f>F269+1</f>
        <v>2025</v>
      </c>
      <c r="H269" s="66">
        <f t="shared" si="21"/>
        <v>2026</v>
      </c>
      <c r="I269" s="66">
        <f>H269+1</f>
        <v>2027</v>
      </c>
      <c r="J269" s="66">
        <f>I269+1</f>
        <v>2028</v>
      </c>
      <c r="K269" s="66">
        <f t="shared" si="21"/>
        <v>2029</v>
      </c>
      <c r="L269" s="66">
        <f t="shared" si="21"/>
        <v>2030</v>
      </c>
    </row>
    <row r="270" spans="3:13" x14ac:dyDescent="0.25">
      <c r="C270" s="20" t="s">
        <v>517</v>
      </c>
      <c r="D270" s="20"/>
      <c r="E270" s="20"/>
      <c r="F270" s="20"/>
      <c r="G270" s="20"/>
      <c r="H270" s="20"/>
      <c r="I270" s="20"/>
      <c r="J270" s="20"/>
      <c r="K270" s="20"/>
      <c r="L270" s="20"/>
    </row>
    <row r="271" spans="3:13" x14ac:dyDescent="0.25">
      <c r="C271" s="6" t="s">
        <v>255</v>
      </c>
      <c r="D271" s="12">
        <f>Master!H228*1000000/AVERAGE(Master!G21:H21)/Master!H176</f>
        <v>13071.184736006804</v>
      </c>
      <c r="E271" s="12">
        <f>Master!I228*1000000/AVERAGE(Master!H21:I21)/Master!I176</f>
        <v>14049.387631899894</v>
      </c>
      <c r="F271" s="12">
        <f>Master!J228*1000000/AVERAGE(Master!I21:J21)/Master!J176</f>
        <v>14353.592565523481</v>
      </c>
      <c r="G271" s="12">
        <f>Master!K228*1000000/AVERAGE(Master!J21:K21)/Master!K176</f>
        <v>14807.172271833542</v>
      </c>
      <c r="H271" s="12">
        <f>Master!L228*1000000/AVERAGE(Master!K21:L21)/Master!L176</f>
        <v>15300.95631322082</v>
      </c>
      <c r="I271" s="12">
        <f>Master!M228*1000000/AVERAGE(Master!L21:M21)/Master!M176</f>
        <v>15807.903038699476</v>
      </c>
      <c r="J271" s="12">
        <f>Master!N228*1000000/AVERAGE(Master!M21:N21)/Master!N176</f>
        <v>16275.224763928127</v>
      </c>
      <c r="K271" s="12">
        <f>Master!O228*1000000/AVERAGE(Master!N21:O21)/Master!O176</f>
        <v>16755.900946271773</v>
      </c>
      <c r="L271" s="12">
        <f>Master!P228*1000000/AVERAGE(Master!O21:P21)/Master!P176</f>
        <v>17250.208249763604</v>
      </c>
      <c r="M271" s="15">
        <f>(L271/D271)^(1/8)-1</f>
        <v>3.5285004895726502E-2</v>
      </c>
    </row>
    <row r="272" spans="3:13" x14ac:dyDescent="0.25">
      <c r="C272" s="6" t="s">
        <v>129</v>
      </c>
      <c r="D272" s="12">
        <v>18018.128777394319</v>
      </c>
      <c r="E272" s="12">
        <v>19023.780507918076</v>
      </c>
      <c r="F272" s="12">
        <v>19633.482975891449</v>
      </c>
      <c r="G272" s="12">
        <v>20003.311602041438</v>
      </c>
      <c r="H272" s="12">
        <v>20326.279941628898</v>
      </c>
      <c r="I272" s="12">
        <v>20590.63888017146</v>
      </c>
      <c r="J272" s="12">
        <v>20860.079669314622</v>
      </c>
      <c r="K272" s="12">
        <v>21134.536424363097</v>
      </c>
      <c r="L272" s="12">
        <v>21413.956095297301</v>
      </c>
      <c r="M272" s="15">
        <f>(L272/D272)^(1/8)-1</f>
        <v>2.1817656189938361E-2</v>
      </c>
    </row>
    <row r="273" spans="3:13" x14ac:dyDescent="0.25">
      <c r="C273" s="77" t="s">
        <v>512</v>
      </c>
      <c r="D273" s="78">
        <f t="shared" ref="D273:L273" si="22">D272-D271</f>
        <v>4946.9440413875145</v>
      </c>
      <c r="E273" s="78">
        <f t="shared" si="22"/>
        <v>4974.3928760181825</v>
      </c>
      <c r="F273" s="78">
        <f t="shared" si="22"/>
        <v>5279.8904103679688</v>
      </c>
      <c r="G273" s="78">
        <f t="shared" si="22"/>
        <v>5196.1393302078959</v>
      </c>
      <c r="H273" s="78">
        <f t="shared" si="22"/>
        <v>5025.3236284080776</v>
      </c>
      <c r="I273" s="78">
        <f t="shared" si="22"/>
        <v>4782.7358414719838</v>
      </c>
      <c r="J273" s="78">
        <f t="shared" si="22"/>
        <v>4584.8549053864954</v>
      </c>
      <c r="K273" s="78">
        <f t="shared" si="22"/>
        <v>4378.6354780913243</v>
      </c>
      <c r="L273" s="78">
        <f t="shared" si="22"/>
        <v>4163.7478455336968</v>
      </c>
    </row>
    <row r="274" spans="3:13" x14ac:dyDescent="0.25">
      <c r="C274" s="16"/>
      <c r="D274" s="20"/>
      <c r="E274" s="20"/>
      <c r="F274" s="20"/>
      <c r="G274" s="20"/>
      <c r="H274" s="20"/>
      <c r="I274" s="20"/>
      <c r="J274" s="20"/>
      <c r="K274" s="20"/>
      <c r="L274" s="20"/>
    </row>
    <row r="275" spans="3:13" x14ac:dyDescent="0.25">
      <c r="C275" s="20" t="s">
        <v>518</v>
      </c>
      <c r="D275" s="20"/>
      <c r="E275" s="20"/>
      <c r="F275" s="20"/>
      <c r="G275" s="20"/>
      <c r="H275" s="20"/>
      <c r="I275" s="20"/>
      <c r="J275" s="20"/>
      <c r="K275" s="20"/>
      <c r="L275" s="20"/>
    </row>
    <row r="276" spans="3:13" x14ac:dyDescent="0.25">
      <c r="C276" s="6" t="s">
        <v>255</v>
      </c>
      <c r="D276" s="12">
        <f>Master!H274*1000</f>
        <v>18230.407510532703</v>
      </c>
      <c r="E276" s="12">
        <f>Master!I274*1000</f>
        <v>19415.383998717327</v>
      </c>
      <c r="F276" s="12">
        <f>Master!J274*1000</f>
        <v>20289.076278659606</v>
      </c>
      <c r="G276" s="12">
        <f>Master!K274*1000</f>
        <v>20897.748567019396</v>
      </c>
      <c r="H276" s="12">
        <f>Master!L274*1000</f>
        <v>21524.681024029978</v>
      </c>
      <c r="I276" s="12">
        <f>Master!M274*1000</f>
        <v>22170.421454750875</v>
      </c>
      <c r="J276" s="12">
        <f>Master!N274*1000</f>
        <v>22835.534098393404</v>
      </c>
      <c r="K276" s="12">
        <f>Master!O274*1000</f>
        <v>23520.600121345204</v>
      </c>
      <c r="L276" s="12">
        <f>Master!P274*1000</f>
        <v>24226.21812498556</v>
      </c>
      <c r="M276" s="15">
        <f>(L276/D276)^(1/8)-1</f>
        <v>3.6182267510754151E-2</v>
      </c>
    </row>
    <row r="277" spans="3:13" x14ac:dyDescent="0.25">
      <c r="C277" s="6" t="s">
        <v>129</v>
      </c>
      <c r="D277" s="96">
        <v>24572.774208951661</v>
      </c>
      <c r="E277" s="96">
        <v>25924.276790444001</v>
      </c>
      <c r="F277" s="96">
        <v>26831.626478109538</v>
      </c>
      <c r="G277" s="96">
        <v>27636.575272452825</v>
      </c>
      <c r="H277" s="96">
        <v>28465.672530626409</v>
      </c>
      <c r="I277" s="96">
        <v>29319.642706545201</v>
      </c>
      <c r="J277" s="96">
        <v>30199.231987741558</v>
      </c>
      <c r="K277" s="96">
        <v>31105.208947373805</v>
      </c>
      <c r="L277" s="96">
        <v>32038.36521579502</v>
      </c>
      <c r="M277" s="15">
        <f>(L277/D277)^(1/8)-1</f>
        <v>3.3717859693635166E-2</v>
      </c>
    </row>
    <row r="278" spans="3:13" x14ac:dyDescent="0.25">
      <c r="C278" s="77" t="s">
        <v>520</v>
      </c>
      <c r="D278" s="80">
        <f>D276/D277-1</f>
        <v>-0.25810543996731494</v>
      </c>
      <c r="E278" s="80">
        <f t="shared" ref="E278:L278" si="23">E276/E277-1</f>
        <v>-0.25107326404283459</v>
      </c>
      <c r="F278" s="80">
        <f t="shared" si="23"/>
        <v>-0.2438372569321372</v>
      </c>
      <c r="G278" s="80">
        <f t="shared" si="23"/>
        <v>-0.2438372569321372</v>
      </c>
      <c r="H278" s="80">
        <f t="shared" si="23"/>
        <v>-0.2438372569321372</v>
      </c>
      <c r="I278" s="80">
        <f t="shared" si="23"/>
        <v>-0.2438372569321372</v>
      </c>
      <c r="J278" s="80">
        <f t="shared" si="23"/>
        <v>-0.2438372569321372</v>
      </c>
      <c r="K278" s="80">
        <f t="shared" si="23"/>
        <v>-0.24383725693213731</v>
      </c>
      <c r="L278" s="80">
        <f t="shared" si="23"/>
        <v>-0.24383725693213731</v>
      </c>
      <c r="M278" s="15"/>
    </row>
    <row r="279" spans="3:13" x14ac:dyDescent="0.25">
      <c r="C279" s="77" t="s">
        <v>512</v>
      </c>
      <c r="D279" s="78">
        <f t="shared" ref="D279:L279" si="24">D277-D276</f>
        <v>6342.3666984189585</v>
      </c>
      <c r="E279" s="78">
        <f t="shared" si="24"/>
        <v>6508.8927917266737</v>
      </c>
      <c r="F279" s="78">
        <f t="shared" si="24"/>
        <v>6542.5501994499318</v>
      </c>
      <c r="G279" s="78">
        <f t="shared" si="24"/>
        <v>6738.8267054334283</v>
      </c>
      <c r="H279" s="78">
        <f t="shared" si="24"/>
        <v>6940.9915065964306</v>
      </c>
      <c r="I279" s="78">
        <f t="shared" si="24"/>
        <v>7149.2212517943262</v>
      </c>
      <c r="J279" s="78">
        <f t="shared" si="24"/>
        <v>7363.6978893481537</v>
      </c>
      <c r="K279" s="78">
        <f t="shared" si="24"/>
        <v>7584.6088260286015</v>
      </c>
      <c r="L279" s="78">
        <f t="shared" si="24"/>
        <v>7812.1470908094598</v>
      </c>
    </row>
    <row r="280" spans="3:13" x14ac:dyDescent="0.25">
      <c r="C280" s="77"/>
      <c r="D280" s="78"/>
      <c r="E280" s="78"/>
      <c r="F280" s="78"/>
      <c r="G280" s="78"/>
      <c r="H280" s="78"/>
      <c r="I280" s="78"/>
      <c r="J280" s="78"/>
      <c r="K280" s="78"/>
      <c r="L280" s="78"/>
    </row>
    <row r="281" spans="3:13" x14ac:dyDescent="0.25">
      <c r="C281" s="20" t="s">
        <v>518</v>
      </c>
      <c r="D281" s="16"/>
      <c r="E281" s="78"/>
      <c r="F281" s="78"/>
      <c r="G281" s="78"/>
      <c r="H281" s="78"/>
      <c r="I281" s="78"/>
      <c r="J281" s="78"/>
      <c r="K281" s="78"/>
      <c r="L281" s="78"/>
    </row>
    <row r="282" spans="3:13" x14ac:dyDescent="0.25">
      <c r="C282" s="6" t="str">
        <f>C276</f>
        <v>Sitios</v>
      </c>
      <c r="D282" s="78">
        <f>Interims!G61*1000000/6/(Interims!G4*1.2)</f>
        <v>20682.527405370307</v>
      </c>
      <c r="E282" s="79" t="s">
        <v>279</v>
      </c>
      <c r="F282" s="78"/>
      <c r="G282" s="78"/>
      <c r="H282" s="78"/>
      <c r="I282" s="78"/>
      <c r="J282" s="78"/>
      <c r="K282" s="78"/>
      <c r="L282" s="78"/>
    </row>
    <row r="283" spans="3:13" x14ac:dyDescent="0.25">
      <c r="C283" s="6" t="str">
        <f>C277</f>
        <v>Telesites</v>
      </c>
      <c r="D283" s="78">
        <v>24232.413525068016</v>
      </c>
      <c r="E283" s="79" t="s">
        <v>519</v>
      </c>
      <c r="F283" s="78"/>
      <c r="G283" s="78"/>
      <c r="H283" s="78"/>
      <c r="I283" s="78"/>
      <c r="J283" s="78"/>
      <c r="K283" s="78"/>
      <c r="L283" s="78"/>
    </row>
    <row r="284" spans="3:13" x14ac:dyDescent="0.25">
      <c r="C284" s="77" t="s">
        <v>520</v>
      </c>
      <c r="D284" s="80">
        <f>D282/D283-1</f>
        <v>-0.14649329568536007</v>
      </c>
      <c r="E284" s="79"/>
      <c r="F284" s="78"/>
      <c r="G284" s="78"/>
      <c r="H284" s="78"/>
      <c r="I284" s="78"/>
      <c r="J284" s="78"/>
      <c r="K284" s="78"/>
      <c r="L284" s="78"/>
    </row>
    <row r="285" spans="3:13" x14ac:dyDescent="0.25">
      <c r="C285" s="77"/>
      <c r="D285" s="78"/>
      <c r="E285" s="78"/>
      <c r="F285" s="78"/>
      <c r="G285" s="78"/>
      <c r="H285" s="78"/>
      <c r="I285" s="78"/>
      <c r="J285" s="78"/>
      <c r="K285" s="78"/>
      <c r="L285" s="78"/>
    </row>
    <row r="286" spans="3:13" x14ac:dyDescent="0.25">
      <c r="C286" s="20" t="s">
        <v>532</v>
      </c>
      <c r="D286" s="20"/>
      <c r="E286" s="20"/>
      <c r="F286" s="20"/>
      <c r="G286" s="20"/>
      <c r="H286" s="20"/>
      <c r="I286" s="20"/>
      <c r="J286" s="20"/>
      <c r="K286" s="20"/>
      <c r="L286" s="20"/>
    </row>
    <row r="287" spans="3:13" x14ac:dyDescent="0.25">
      <c r="C287" s="6" t="s">
        <v>255</v>
      </c>
      <c r="D287" s="12">
        <f>Master!H307</f>
        <v>20655.088930845424</v>
      </c>
      <c r="E287" s="12">
        <f>Master!I307</f>
        <v>17651.416464258495</v>
      </c>
      <c r="F287" s="12">
        <f>Master!J307</f>
        <v>18454.307189646952</v>
      </c>
      <c r="G287" s="12">
        <f>Master!K307</f>
        <v>19471.001318480292</v>
      </c>
      <c r="H287" s="12">
        <f>Master!L307</f>
        <v>20576.550445400342</v>
      </c>
      <c r="I287" s="12">
        <f>Master!M307</f>
        <v>21765.182230164934</v>
      </c>
      <c r="J287" s="12">
        <f>Master!N307</f>
        <v>22911.783187675013</v>
      </c>
      <c r="K287" s="12">
        <f>Master!O307</f>
        <v>24116.216714545404</v>
      </c>
      <c r="L287" s="12">
        <f>Master!P307</f>
        <v>25381.22334299027</v>
      </c>
      <c r="M287" s="15">
        <f>(L287/D287)^(1/8)-1</f>
        <v>2.609054359889007E-2</v>
      </c>
    </row>
    <row r="288" spans="3:13" x14ac:dyDescent="0.25">
      <c r="C288" s="6" t="s">
        <v>129</v>
      </c>
      <c r="D288" s="96">
        <v>24661.109089078691</v>
      </c>
      <c r="E288" s="96">
        <v>25890.634263501353</v>
      </c>
      <c r="F288" s="96">
        <v>26625.404044322724</v>
      </c>
      <c r="G288" s="96">
        <v>27383.806337308055</v>
      </c>
      <c r="H288" s="96">
        <v>28250.279413501481</v>
      </c>
      <c r="I288" s="96">
        <v>29200.09936225801</v>
      </c>
      <c r="J288" s="96">
        <v>30245.390071810234</v>
      </c>
      <c r="K288" s="96">
        <v>31267.285285633548</v>
      </c>
      <c r="L288" s="96">
        <v>32240.035382349288</v>
      </c>
      <c r="M288" s="15">
        <f>(L288/D288)^(1/8)-1</f>
        <v>3.406505802610682E-2</v>
      </c>
    </row>
    <row r="289" spans="3:13" x14ac:dyDescent="0.25">
      <c r="C289" s="77" t="s">
        <v>520</v>
      </c>
      <c r="D289" s="80">
        <f t="shared" ref="D289:L289" si="25">D287/D288-1</f>
        <v>-0.1624428221684221</v>
      </c>
      <c r="E289" s="80">
        <f t="shared" si="25"/>
        <v>-0.3182315935325648</v>
      </c>
      <c r="F289" s="80">
        <f t="shared" si="25"/>
        <v>-0.30689099932806752</v>
      </c>
      <c r="G289" s="80">
        <f t="shared" si="25"/>
        <v>-0.28895928204280552</v>
      </c>
      <c r="H289" s="80">
        <f t="shared" si="25"/>
        <v>-0.27163373699000237</v>
      </c>
      <c r="I289" s="80">
        <f t="shared" si="25"/>
        <v>-0.25461958330535428</v>
      </c>
      <c r="J289" s="80">
        <f t="shared" si="25"/>
        <v>-0.2424702365128496</v>
      </c>
      <c r="K289" s="80">
        <f t="shared" si="25"/>
        <v>-0.22870768938721597</v>
      </c>
      <c r="L289" s="80">
        <f t="shared" si="25"/>
        <v>-0.2127420754356264</v>
      </c>
      <c r="M289" s="15"/>
    </row>
    <row r="290" spans="3:13" x14ac:dyDescent="0.25">
      <c r="C290" s="77" t="s">
        <v>512</v>
      </c>
      <c r="D290" s="78">
        <f>D288-D287</f>
        <v>4006.0201582332666</v>
      </c>
      <c r="E290" s="78">
        <f t="shared" ref="E290:L290" si="26">E288-E287</f>
        <v>8239.2177992428587</v>
      </c>
      <c r="F290" s="78">
        <f t="shared" si="26"/>
        <v>8171.0968546757722</v>
      </c>
      <c r="G290" s="78">
        <f t="shared" si="26"/>
        <v>7912.805018827763</v>
      </c>
      <c r="H290" s="78">
        <f t="shared" si="26"/>
        <v>7673.7289681011389</v>
      </c>
      <c r="I290" s="78">
        <f t="shared" si="26"/>
        <v>7434.9171320930764</v>
      </c>
      <c r="J290" s="78">
        <f t="shared" si="26"/>
        <v>7333.6068841352208</v>
      </c>
      <c r="K290" s="78">
        <f t="shared" si="26"/>
        <v>7151.0685710881444</v>
      </c>
      <c r="L290" s="78">
        <f t="shared" si="26"/>
        <v>6858.8120393590179</v>
      </c>
    </row>
    <row r="292" spans="3:13" x14ac:dyDescent="0.25">
      <c r="C292" s="20" t="s">
        <v>511</v>
      </c>
      <c r="D292" s="12"/>
    </row>
    <row r="293" spans="3:13" x14ac:dyDescent="0.25">
      <c r="C293" s="6" t="str">
        <f>C287</f>
        <v>Sitios</v>
      </c>
      <c r="D293" s="12">
        <f t="shared" ref="D293:L293" si="27">D287-D298</f>
        <v>2172.8382462168229</v>
      </c>
      <c r="E293" s="12">
        <f t="shared" si="27"/>
        <v>4292.6309942603202</v>
      </c>
      <c r="F293" s="12">
        <f t="shared" si="27"/>
        <v>7318.4514413890538</v>
      </c>
      <c r="G293" s="12">
        <f t="shared" si="27"/>
        <v>4547.3127852546277</v>
      </c>
      <c r="H293" s="12">
        <f t="shared" si="27"/>
        <v>4394.2140153290075</v>
      </c>
      <c r="I293" s="12">
        <f t="shared" si="27"/>
        <v>4337.7329978400376</v>
      </c>
      <c r="J293" s="12">
        <f t="shared" si="27"/>
        <v>4286.4248663339386</v>
      </c>
      <c r="K293" s="12">
        <f t="shared" si="27"/>
        <v>4239.8519886284048</v>
      </c>
      <c r="L293" s="12">
        <f t="shared" si="27"/>
        <v>4197.6287681962494</v>
      </c>
    </row>
    <row r="294" spans="3:13" x14ac:dyDescent="0.25">
      <c r="C294" s="6" t="str">
        <f>C288</f>
        <v>Telesites</v>
      </c>
      <c r="D294" s="12">
        <f t="shared" ref="D294:L294" si="28">D288-D299</f>
        <v>5584.4335411031498</v>
      </c>
      <c r="E294" s="12">
        <f t="shared" si="28"/>
        <v>4666.6456188218181</v>
      </c>
      <c r="F294" s="12">
        <f t="shared" si="28"/>
        <v>4950.0017265438546</v>
      </c>
      <c r="G294" s="12">
        <f t="shared" si="28"/>
        <v>4854.3998411945868</v>
      </c>
      <c r="H294" s="12">
        <f t="shared" si="28"/>
        <v>4304.0226880349655</v>
      </c>
      <c r="I294" s="12">
        <f t="shared" si="28"/>
        <v>4421.0288847121556</v>
      </c>
      <c r="J294" s="12">
        <f t="shared" si="28"/>
        <v>4533.0764959578919</v>
      </c>
      <c r="K294" s="12">
        <f t="shared" si="28"/>
        <v>4482.0094581683588</v>
      </c>
      <c r="L294" s="12">
        <f t="shared" si="28"/>
        <v>4435.6824468045161</v>
      </c>
    </row>
    <row r="295" spans="3:13" x14ac:dyDescent="0.25">
      <c r="C295" s="77" t="s">
        <v>512</v>
      </c>
      <c r="D295" s="78">
        <f t="shared" ref="D295:L295" si="29">D294-D293</f>
        <v>3411.5952948863269</v>
      </c>
      <c r="E295" s="78">
        <f t="shared" si="29"/>
        <v>374.01462456149784</v>
      </c>
      <c r="F295" s="78">
        <f t="shared" si="29"/>
        <v>-2368.4497148451992</v>
      </c>
      <c r="G295" s="78">
        <f t="shared" si="29"/>
        <v>307.0870559399591</v>
      </c>
      <c r="H295" s="78">
        <f t="shared" si="29"/>
        <v>-90.191327294041912</v>
      </c>
      <c r="I295" s="78">
        <f t="shared" si="29"/>
        <v>83.29588687211799</v>
      </c>
      <c r="J295" s="78">
        <f t="shared" si="29"/>
        <v>246.65162962395334</v>
      </c>
      <c r="K295" s="78">
        <f t="shared" si="29"/>
        <v>242.15746953995404</v>
      </c>
      <c r="L295" s="78">
        <f t="shared" si="29"/>
        <v>238.05367860826664</v>
      </c>
    </row>
    <row r="296" spans="3:13" x14ac:dyDescent="0.25">
      <c r="C296" s="77"/>
      <c r="D296" s="78"/>
      <c r="E296" s="78"/>
      <c r="F296" s="78"/>
      <c r="G296" s="78"/>
      <c r="H296" s="78"/>
      <c r="I296" s="78"/>
      <c r="J296" s="78"/>
      <c r="K296" s="78"/>
      <c r="L296" s="78"/>
    </row>
    <row r="297" spans="3:13" x14ac:dyDescent="0.25">
      <c r="C297" s="20" t="s">
        <v>531</v>
      </c>
      <c r="D297" s="12"/>
    </row>
    <row r="298" spans="3:13" x14ac:dyDescent="0.25">
      <c r="C298" s="6" t="str">
        <f>C287</f>
        <v>Sitios</v>
      </c>
      <c r="D298" s="12">
        <f>Master!H357</f>
        <v>18482.250684628601</v>
      </c>
      <c r="E298" s="12">
        <f>Master!I357</f>
        <v>13358.785469998174</v>
      </c>
      <c r="F298" s="12">
        <f>Master!J357</f>
        <v>11135.855748257898</v>
      </c>
      <c r="G298" s="12">
        <f>Master!K357</f>
        <v>14923.688533225664</v>
      </c>
      <c r="H298" s="12">
        <f>Master!L357</f>
        <v>16182.336430071335</v>
      </c>
      <c r="I298" s="12">
        <f>Master!M357</f>
        <v>17427.449232324896</v>
      </c>
      <c r="J298" s="12">
        <f>Master!N357</f>
        <v>18625.358321341075</v>
      </c>
      <c r="K298" s="12">
        <f>Master!O357</f>
        <v>19876.364725916999</v>
      </c>
      <c r="L298" s="12">
        <f>Master!P357</f>
        <v>21183.59457479402</v>
      </c>
    </row>
    <row r="299" spans="3:13" x14ac:dyDescent="0.25">
      <c r="C299" s="6" t="str">
        <f>C288</f>
        <v>Telesites</v>
      </c>
      <c r="D299" s="96">
        <v>19076.675547975541</v>
      </c>
      <c r="E299" s="96">
        <v>21223.988644679535</v>
      </c>
      <c r="F299" s="96">
        <v>21675.402317778869</v>
      </c>
      <c r="G299" s="96">
        <v>22529.406496113468</v>
      </c>
      <c r="H299" s="96">
        <v>23946.256725466515</v>
      </c>
      <c r="I299" s="96">
        <v>24779.070477545854</v>
      </c>
      <c r="J299" s="96">
        <v>25712.313575852342</v>
      </c>
      <c r="K299" s="96">
        <v>26785.27582746519</v>
      </c>
      <c r="L299" s="96">
        <v>27804.352935544772</v>
      </c>
    </row>
    <row r="300" spans="3:13" x14ac:dyDescent="0.25">
      <c r="C300" s="77" t="s">
        <v>520</v>
      </c>
      <c r="D300" s="80">
        <f>D298/D299-1</f>
        <v>-3.115977214436727E-2</v>
      </c>
      <c r="E300" s="80">
        <f t="shared" ref="E300:L300" si="30">E298/E299-1</f>
        <v>-0.37058082278295146</v>
      </c>
      <c r="F300" s="80">
        <f t="shared" si="30"/>
        <v>-0.48624456492215107</v>
      </c>
      <c r="G300" s="80">
        <f t="shared" si="30"/>
        <v>-0.33759069348763626</v>
      </c>
      <c r="H300" s="80">
        <f t="shared" si="30"/>
        <v>-0.3242227119004516</v>
      </c>
      <c r="I300" s="80">
        <f t="shared" si="30"/>
        <v>-0.29668672405943575</v>
      </c>
      <c r="J300" s="80">
        <f t="shared" si="30"/>
        <v>-0.27562495430854439</v>
      </c>
      <c r="K300" s="80">
        <f t="shared" si="30"/>
        <v>-0.25793690332148478</v>
      </c>
      <c r="L300" s="80">
        <f t="shared" si="30"/>
        <v>-0.23811949071783101</v>
      </c>
    </row>
    <row r="301" spans="3:13" x14ac:dyDescent="0.25">
      <c r="C301" s="77" t="s">
        <v>512</v>
      </c>
      <c r="D301" s="78">
        <f t="shared" ref="D301:L301" si="31">D299-D298</f>
        <v>594.42486334693967</v>
      </c>
      <c r="E301" s="78">
        <f t="shared" si="31"/>
        <v>7865.2031746813609</v>
      </c>
      <c r="F301" s="78">
        <f t="shared" si="31"/>
        <v>10539.546569520971</v>
      </c>
      <c r="G301" s="78">
        <f t="shared" si="31"/>
        <v>7605.7179628878039</v>
      </c>
      <c r="H301" s="78">
        <f t="shared" si="31"/>
        <v>7763.9202953951808</v>
      </c>
      <c r="I301" s="78">
        <f t="shared" si="31"/>
        <v>7351.6212452209584</v>
      </c>
      <c r="J301" s="78">
        <f t="shared" si="31"/>
        <v>7086.9552545112674</v>
      </c>
      <c r="K301" s="78">
        <f t="shared" si="31"/>
        <v>6908.9111015481903</v>
      </c>
      <c r="L301" s="78">
        <f t="shared" si="31"/>
        <v>6620.7583607507513</v>
      </c>
    </row>
    <row r="303" spans="3:13" x14ac:dyDescent="0.25">
      <c r="C303" s="6" t="s">
        <v>527</v>
      </c>
      <c r="D303" s="21">
        <v>0.1154474262248114</v>
      </c>
      <c r="E303" s="21">
        <v>0.11069041296584561</v>
      </c>
      <c r="F303" s="21">
        <v>0.10630991117755695</v>
      </c>
      <c r="G303" s="21">
        <v>0.10226292191861942</v>
      </c>
      <c r="H303" s="21">
        <v>9.9118563463430634E-2</v>
      </c>
      <c r="I303" s="21">
        <v>9.616180097048764E-2</v>
      </c>
      <c r="J303" s="21">
        <v>9.3376332457902056E-2</v>
      </c>
      <c r="K303" s="21">
        <v>9.074769161474365E-2</v>
      </c>
      <c r="L303" s="21">
        <v>8.8262996495327109E-2</v>
      </c>
    </row>
    <row r="305" spans="3:15" x14ac:dyDescent="0.25">
      <c r="C305" s="20" t="s">
        <v>530</v>
      </c>
    </row>
    <row r="306" spans="3:15" x14ac:dyDescent="0.25">
      <c r="C306" s="6" t="str">
        <f>C298</f>
        <v>Sitios</v>
      </c>
      <c r="D306" s="12">
        <f>D298*0.7</f>
        <v>12937.57547924002</v>
      </c>
      <c r="E306" s="12">
        <f t="shared" ref="E306:L306" si="32">E298*0.7</f>
        <v>9351.1498289987212</v>
      </c>
      <c r="F306" s="12">
        <f t="shared" si="32"/>
        <v>7795.0990237805281</v>
      </c>
      <c r="G306" s="12">
        <f t="shared" si="32"/>
        <v>10446.581973257964</v>
      </c>
      <c r="H306" s="12">
        <f t="shared" si="32"/>
        <v>11327.635501049934</v>
      </c>
      <c r="I306" s="12">
        <f t="shared" si="32"/>
        <v>12199.214462627426</v>
      </c>
      <c r="J306" s="12">
        <f t="shared" si="32"/>
        <v>13037.750824938752</v>
      </c>
      <c r="K306" s="12">
        <f t="shared" si="32"/>
        <v>13913.455308141898</v>
      </c>
      <c r="L306" s="12">
        <f t="shared" si="32"/>
        <v>14828.516202355813</v>
      </c>
    </row>
    <row r="307" spans="3:15" x14ac:dyDescent="0.25">
      <c r="C307" s="6" t="str">
        <f>C299</f>
        <v>Telesites</v>
      </c>
      <c r="D307" s="12">
        <f>D299*(1-D303)</f>
        <v>16874.32245503597</v>
      </c>
      <c r="E307" s="12">
        <f t="shared" ref="E307:L307" si="33">E299*(1-E303)</f>
        <v>18874.69657681754</v>
      </c>
      <c r="F307" s="12">
        <f t="shared" si="33"/>
        <v>19371.092222637984</v>
      </c>
      <c r="G307" s="12">
        <f t="shared" si="33"/>
        <v>20225.483558728578</v>
      </c>
      <c r="H307" s="12">
        <f t="shared" si="33"/>
        <v>21572.738158511762</v>
      </c>
      <c r="I307" s="12">
        <f t="shared" si="33"/>
        <v>22396.270434050402</v>
      </c>
      <c r="J307" s="12">
        <f t="shared" si="33"/>
        <v>23311.392035131728</v>
      </c>
      <c r="K307" s="12">
        <f t="shared" si="33"/>
        <v>24354.573876858532</v>
      </c>
      <c r="L307" s="12">
        <f t="shared" si="33"/>
        <v>25350.257429839945</v>
      </c>
    </row>
    <row r="308" spans="3:15" x14ac:dyDescent="0.25">
      <c r="C308" s="6" t="s">
        <v>520</v>
      </c>
      <c r="D308" s="21">
        <f>D306/D307-1</f>
        <v>-0.23329807678417736</v>
      </c>
      <c r="E308" s="21">
        <f t="shared" ref="E308:L308" si="34">E306/E307-1</f>
        <v>-0.50456687921097076</v>
      </c>
      <c r="F308" s="21">
        <f t="shared" si="34"/>
        <v>-0.5975911459101515</v>
      </c>
      <c r="G308" s="21">
        <f t="shared" si="34"/>
        <v>-0.48349408097342617</v>
      </c>
      <c r="H308" s="21">
        <f t="shared" si="34"/>
        <v>-0.47490970233741558</v>
      </c>
      <c r="I308" s="21">
        <f t="shared" si="34"/>
        <v>-0.45530152002093061</v>
      </c>
      <c r="J308" s="21">
        <f t="shared" si="34"/>
        <v>-0.44071332997660351</v>
      </c>
      <c r="K308" s="21">
        <f t="shared" si="34"/>
        <v>-0.42871284143623134</v>
      </c>
      <c r="L308" s="21">
        <f t="shared" si="34"/>
        <v>-0.41505461065255</v>
      </c>
    </row>
    <row r="312" spans="3:15" x14ac:dyDescent="0.25">
      <c r="C312" s="20" t="s">
        <v>465</v>
      </c>
      <c r="D312"/>
      <c r="E312"/>
      <c r="F312"/>
      <c r="G312"/>
      <c r="H312"/>
    </row>
    <row r="313" spans="3:15" x14ac:dyDescent="0.25">
      <c r="C313"/>
      <c r="D313"/>
      <c r="E313"/>
      <c r="F313"/>
      <c r="G313"/>
      <c r="H313"/>
    </row>
    <row r="314" spans="3:15" x14ac:dyDescent="0.25">
      <c r="C314" s="66" t="s">
        <v>432</v>
      </c>
      <c r="D314" s="66">
        <v>2021</v>
      </c>
      <c r="E314" s="66">
        <f>D314+1</f>
        <v>2022</v>
      </c>
      <c r="F314" s="66">
        <f t="shared" ref="F314:M314" si="35">E314+1</f>
        <v>2023</v>
      </c>
      <c r="G314" s="66">
        <f>F314+1</f>
        <v>2024</v>
      </c>
      <c r="H314" s="66">
        <f t="shared" si="35"/>
        <v>2025</v>
      </c>
      <c r="I314" s="66">
        <f>H314+1</f>
        <v>2026</v>
      </c>
      <c r="J314" s="66">
        <f>I314+1</f>
        <v>2027</v>
      </c>
      <c r="K314" s="66">
        <f t="shared" si="35"/>
        <v>2028</v>
      </c>
      <c r="L314" s="66">
        <f t="shared" si="35"/>
        <v>2029</v>
      </c>
      <c r="M314" s="66">
        <f t="shared" si="35"/>
        <v>2030</v>
      </c>
      <c r="N314" s="24"/>
      <c r="O314" s="69" t="s">
        <v>467</v>
      </c>
    </row>
    <row r="315" spans="3:15" x14ac:dyDescent="0.25">
      <c r="C315" s="70" t="s">
        <v>227</v>
      </c>
      <c r="D315" s="71">
        <f>Master!G21</f>
        <v>29090</v>
      </c>
      <c r="E315" s="71">
        <f>Master!H21</f>
        <v>29701</v>
      </c>
      <c r="F315" s="71">
        <f>Master!I21</f>
        <v>35111</v>
      </c>
      <c r="G315" s="71">
        <f>Master!J21</f>
        <v>37111</v>
      </c>
      <c r="H315" s="71">
        <f>Master!K21</f>
        <v>38411</v>
      </c>
      <c r="I315" s="71">
        <f>Master!L21</f>
        <v>39711</v>
      </c>
      <c r="J315" s="71">
        <f>Master!M21</f>
        <v>41011</v>
      </c>
      <c r="K315" s="71">
        <f>Master!N21</f>
        <v>42311</v>
      </c>
      <c r="L315" s="71">
        <f>Master!O21</f>
        <v>43611</v>
      </c>
      <c r="M315" s="71">
        <f>Master!P21</f>
        <v>44911</v>
      </c>
      <c r="N315" s="70"/>
      <c r="O315" s="72" t="s">
        <v>481</v>
      </c>
    </row>
    <row r="316" spans="3:15" x14ac:dyDescent="0.25">
      <c r="C316" s="6" t="s">
        <v>466</v>
      </c>
      <c r="D316" s="65"/>
      <c r="E316" s="65">
        <f>Master!H22</f>
        <v>611</v>
      </c>
      <c r="F316" s="65">
        <f>Master!I22</f>
        <v>5410</v>
      </c>
      <c r="G316" s="65">
        <f>Master!J22</f>
        <v>2000</v>
      </c>
      <c r="H316" s="65">
        <f>Master!K22</f>
        <v>1300</v>
      </c>
      <c r="I316" s="65">
        <f>Master!L22</f>
        <v>1300</v>
      </c>
      <c r="J316" s="65">
        <f>Master!M22</f>
        <v>1300</v>
      </c>
      <c r="K316" s="65">
        <f>Master!N22</f>
        <v>1300</v>
      </c>
      <c r="L316" s="65">
        <f>Master!O22</f>
        <v>1300</v>
      </c>
      <c r="M316" s="65">
        <f>Master!P22</f>
        <v>1300</v>
      </c>
      <c r="O316" s="22" t="s">
        <v>480</v>
      </c>
    </row>
    <row r="317" spans="3:15" x14ac:dyDescent="0.25">
      <c r="C317" s="70"/>
      <c r="D317" s="71"/>
      <c r="E317" s="71"/>
      <c r="F317" s="71"/>
      <c r="G317" s="71"/>
      <c r="H317" s="71"/>
      <c r="I317" s="71"/>
      <c r="J317" s="71"/>
      <c r="K317" s="71"/>
      <c r="L317" s="71"/>
      <c r="M317" s="71"/>
      <c r="N317" s="70"/>
      <c r="O317" s="72" t="s">
        <v>482</v>
      </c>
    </row>
    <row r="318" spans="3:15" x14ac:dyDescent="0.25">
      <c r="C318" s="6" t="s">
        <v>312</v>
      </c>
      <c r="D318" s="65">
        <f>Master!G47</f>
        <v>34617.1</v>
      </c>
      <c r="E318" s="65">
        <f>Master!H47</f>
        <v>36235.22</v>
      </c>
      <c r="F318" s="65">
        <f>Master!I47</f>
        <v>41992.756000000001</v>
      </c>
      <c r="G318" s="65">
        <f>Master!J47</f>
        <v>45126.976000000002</v>
      </c>
      <c r="H318" s="65">
        <f>Master!K47</f>
        <v>47475.995999999999</v>
      </c>
      <c r="I318" s="65">
        <f>Master!L47</f>
        <v>50274.126000000004</v>
      </c>
      <c r="J318" s="65">
        <f>Master!M47</f>
        <v>52740.146000000001</v>
      </c>
      <c r="K318" s="65">
        <f>Master!N47</f>
        <v>55258.166000000005</v>
      </c>
      <c r="L318" s="65">
        <f>Master!O47</f>
        <v>57828.186000000002</v>
      </c>
      <c r="M318" s="65">
        <f>Master!P47</f>
        <v>60450.206000000006</v>
      </c>
      <c r="O318" s="22"/>
    </row>
    <row r="319" spans="3:15" x14ac:dyDescent="0.25">
      <c r="C319" s="70" t="s">
        <v>175</v>
      </c>
      <c r="D319" s="71"/>
      <c r="E319" s="71">
        <f>E318-D318</f>
        <v>1618.1200000000026</v>
      </c>
      <c r="F319" s="71">
        <f t="shared" ref="F319:M319" si="36">F318-E318</f>
        <v>5757.5360000000001</v>
      </c>
      <c r="G319" s="71">
        <f>G318-F318</f>
        <v>3134.2200000000012</v>
      </c>
      <c r="H319" s="71">
        <f t="shared" si="36"/>
        <v>2349.0199999999968</v>
      </c>
      <c r="I319" s="71">
        <f>I318-H318</f>
        <v>2798.1300000000047</v>
      </c>
      <c r="J319" s="71">
        <f>J318-I318</f>
        <v>2466.0199999999968</v>
      </c>
      <c r="K319" s="71">
        <f t="shared" si="36"/>
        <v>2518.0200000000041</v>
      </c>
      <c r="L319" s="71">
        <f t="shared" si="36"/>
        <v>2570.0199999999968</v>
      </c>
      <c r="M319" s="71">
        <f t="shared" si="36"/>
        <v>2622.0200000000041</v>
      </c>
      <c r="N319" s="70"/>
      <c r="O319" s="72" t="s">
        <v>540</v>
      </c>
    </row>
    <row r="320" spans="3:15" x14ac:dyDescent="0.25">
      <c r="D320" s="65"/>
      <c r="E320" s="65"/>
      <c r="F320" s="65"/>
      <c r="G320" s="65"/>
      <c r="H320" s="65"/>
      <c r="I320" s="65"/>
      <c r="J320" s="65"/>
      <c r="K320" s="65"/>
      <c r="L320" s="65"/>
      <c r="M320" s="65"/>
      <c r="O320" s="22" t="s">
        <v>468</v>
      </c>
    </row>
    <row r="321" spans="3:15" x14ac:dyDescent="0.25">
      <c r="C321" s="70" t="s">
        <v>175</v>
      </c>
      <c r="D321" s="73">
        <f>Master!G71</f>
        <v>1.19</v>
      </c>
      <c r="E321" s="73">
        <f>Master!H71</f>
        <v>1.22</v>
      </c>
      <c r="F321" s="73">
        <f>Master!I71</f>
        <v>1.196</v>
      </c>
      <c r="G321" s="73">
        <f>Master!J71</f>
        <v>1.216</v>
      </c>
      <c r="H321" s="73">
        <f>Master!K71</f>
        <v>1.236</v>
      </c>
      <c r="I321" s="73">
        <f>Master!L71</f>
        <v>1.266</v>
      </c>
      <c r="J321" s="73">
        <f>Master!M71</f>
        <v>1.286</v>
      </c>
      <c r="K321" s="73">
        <f>Master!N71</f>
        <v>1.306</v>
      </c>
      <c r="L321" s="73">
        <f>Master!O71</f>
        <v>1.3260000000000001</v>
      </c>
      <c r="M321" s="73">
        <f>Master!P71</f>
        <v>1.3460000000000001</v>
      </c>
      <c r="N321" s="70"/>
      <c r="O321" s="72" t="s">
        <v>469</v>
      </c>
    </row>
    <row r="322" spans="3:15" x14ac:dyDescent="0.25">
      <c r="D322" s="65"/>
      <c r="E322" s="65"/>
      <c r="F322" s="65"/>
      <c r="G322" s="65"/>
      <c r="H322" s="65"/>
      <c r="I322" s="65"/>
      <c r="J322" s="22"/>
      <c r="O322" s="22"/>
    </row>
    <row r="323" spans="3:15" x14ac:dyDescent="0.25">
      <c r="C323" s="74" t="s">
        <v>470</v>
      </c>
      <c r="D323" s="71"/>
      <c r="E323" s="71"/>
      <c r="F323" s="71"/>
      <c r="G323" s="71"/>
      <c r="H323" s="71"/>
      <c r="I323" s="71"/>
      <c r="J323" s="72"/>
      <c r="K323" s="70"/>
      <c r="L323" s="70"/>
      <c r="M323" s="70"/>
      <c r="N323" s="70"/>
      <c r="O323" s="72"/>
    </row>
    <row r="324" spans="3:15" x14ac:dyDescent="0.25">
      <c r="C324" s="6" t="s">
        <v>12</v>
      </c>
      <c r="D324" s="15"/>
      <c r="E324" s="15">
        <f>Master!H182</f>
        <v>6.7500000000000004E-2</v>
      </c>
      <c r="F324" s="15">
        <f>Master!I182</f>
        <v>5.1999999999999998E-2</v>
      </c>
      <c r="G324" s="15">
        <f>Master!J182</f>
        <v>3.3000000000000002E-2</v>
      </c>
      <c r="H324" s="15">
        <f>Master!K182</f>
        <v>0.03</v>
      </c>
      <c r="I324" s="15">
        <f>Master!L182</f>
        <v>0.03</v>
      </c>
      <c r="J324" s="15">
        <f>Master!M182</f>
        <v>0.03</v>
      </c>
      <c r="K324" s="15">
        <f>Master!N182</f>
        <v>0.03</v>
      </c>
      <c r="L324" s="15">
        <f>Master!O182</f>
        <v>0.03</v>
      </c>
      <c r="M324" s="15">
        <f>Master!P182</f>
        <v>0.03</v>
      </c>
      <c r="O324" s="22" t="s">
        <v>477</v>
      </c>
    </row>
    <row r="325" spans="3:15" x14ac:dyDescent="0.25">
      <c r="C325" s="70" t="s">
        <v>154</v>
      </c>
      <c r="D325" s="75"/>
      <c r="E325" s="75">
        <f>Master!H183</f>
        <v>6.7500000000000004E-2</v>
      </c>
      <c r="F325" s="75">
        <f>Master!I183</f>
        <v>2.9000000000000001E-2</v>
      </c>
      <c r="G325" s="75">
        <f>Master!J183</f>
        <v>2.3E-2</v>
      </c>
      <c r="H325" s="75">
        <f>Master!K183</f>
        <v>0.02</v>
      </c>
      <c r="I325" s="75">
        <f>Master!L183</f>
        <v>0.02</v>
      </c>
      <c r="J325" s="75">
        <f>Master!M183</f>
        <v>0.02</v>
      </c>
      <c r="K325" s="75">
        <f>Master!N183</f>
        <v>0.02</v>
      </c>
      <c r="L325" s="75">
        <f>Master!O183</f>
        <v>0.02</v>
      </c>
      <c r="M325" s="75">
        <f>Master!P183</f>
        <v>0.02</v>
      </c>
      <c r="N325" s="70"/>
      <c r="O325" s="72" t="s">
        <v>478</v>
      </c>
    </row>
    <row r="326" spans="3:15" x14ac:dyDescent="0.25">
      <c r="C326" s="6" t="s">
        <v>16</v>
      </c>
      <c r="D326" s="15"/>
      <c r="E326" s="15">
        <f>Master!H184</f>
        <v>8.5000000000000006E-2</v>
      </c>
      <c r="F326" s="15">
        <f>Master!I184</f>
        <v>4.4999999999999998E-2</v>
      </c>
      <c r="G326" s="15">
        <f>Master!J184</f>
        <v>3.3000000000000002E-2</v>
      </c>
      <c r="H326" s="15">
        <f>Master!K184</f>
        <v>0.03</v>
      </c>
      <c r="I326" s="15">
        <f>Master!L184</f>
        <v>0.03</v>
      </c>
      <c r="J326" s="15">
        <f>Master!M184</f>
        <v>0.03</v>
      </c>
      <c r="K326" s="15">
        <f>Master!N184</f>
        <v>0.03</v>
      </c>
      <c r="L326" s="15">
        <f>Master!O184</f>
        <v>0.03</v>
      </c>
      <c r="M326" s="15">
        <f>Master!P184</f>
        <v>0.03</v>
      </c>
      <c r="O326" s="22" t="s">
        <v>477</v>
      </c>
    </row>
    <row r="327" spans="3:15" x14ac:dyDescent="0.25">
      <c r="C327" s="70"/>
      <c r="D327" s="71"/>
      <c r="E327" s="71"/>
      <c r="F327" s="71"/>
      <c r="G327" s="71"/>
      <c r="H327" s="71"/>
      <c r="I327" s="71"/>
      <c r="J327" s="72"/>
      <c r="K327" s="70"/>
      <c r="L327" s="70"/>
      <c r="M327" s="70"/>
      <c r="N327" s="70"/>
      <c r="O327" s="72"/>
    </row>
    <row r="328" spans="3:15" x14ac:dyDescent="0.25">
      <c r="C328" s="6" t="s">
        <v>472</v>
      </c>
      <c r="D328" s="65">
        <f>Master!G274*1000</f>
        <v>17460.060682918753</v>
      </c>
      <c r="E328" s="65">
        <f>Master!H274*1000</f>
        <v>18230.407510532703</v>
      </c>
      <c r="F328" s="65">
        <f>Master!I274*1000</f>
        <v>19415.383998717327</v>
      </c>
      <c r="G328" s="65">
        <f>Master!J274*1000</f>
        <v>20289.076278659606</v>
      </c>
      <c r="H328" s="65">
        <f>Master!K274*1000</f>
        <v>20897.748567019396</v>
      </c>
      <c r="I328" s="65">
        <f>Master!L274*1000</f>
        <v>21524.681024029978</v>
      </c>
      <c r="J328" s="65">
        <f>Master!M274*1000</f>
        <v>22170.421454750875</v>
      </c>
      <c r="K328" s="65">
        <f>Master!N274*1000</f>
        <v>22835.534098393404</v>
      </c>
      <c r="L328" s="65">
        <f>Master!O274*1000</f>
        <v>23520.600121345204</v>
      </c>
      <c r="M328" s="65">
        <f>Master!P274*1000</f>
        <v>24226.21812498556</v>
      </c>
      <c r="O328" s="22"/>
    </row>
    <row r="329" spans="3:15" x14ac:dyDescent="0.25">
      <c r="C329" s="70" t="s">
        <v>473</v>
      </c>
      <c r="D329" s="71">
        <f>D328/Master!G176</f>
        <v>860.71541450772679</v>
      </c>
      <c r="E329" s="71">
        <f>E328/Master!H176</f>
        <v>903.83775461242942</v>
      </c>
      <c r="F329" s="71">
        <f>F328/Master!I176</f>
        <v>1090.7519100402992</v>
      </c>
      <c r="G329" s="71">
        <f>G328/Master!J176</f>
        <v>1128.5502435565472</v>
      </c>
      <c r="H329" s="71">
        <f>H328/Master!K176</f>
        <v>1139.614461630631</v>
      </c>
      <c r="I329" s="71">
        <f>I328/Master!L176</f>
        <v>1150.7871524309312</v>
      </c>
      <c r="J329" s="71">
        <f>J328/Master!M176</f>
        <v>1162.0693794155482</v>
      </c>
      <c r="K329" s="71">
        <f>K328/Master!N176</f>
        <v>1173.4622164686418</v>
      </c>
      <c r="L329" s="71">
        <f>L328/Master!O176</f>
        <v>1184.966748002648</v>
      </c>
      <c r="M329" s="71">
        <f>M328/Master!P176</f>
        <v>1196.5840690614975</v>
      </c>
      <c r="N329" s="70"/>
      <c r="O329" s="72"/>
    </row>
    <row r="330" spans="3:15" x14ac:dyDescent="0.25">
      <c r="D330" s="65"/>
      <c r="E330" s="65"/>
      <c r="F330" s="65"/>
      <c r="G330" s="65"/>
      <c r="H330" s="65"/>
      <c r="I330" s="65"/>
      <c r="J330" s="22"/>
      <c r="O330" s="22"/>
    </row>
    <row r="331" spans="3:15" x14ac:dyDescent="0.25">
      <c r="C331" s="70" t="s">
        <v>474</v>
      </c>
      <c r="D331" s="71">
        <f>Master!G228</f>
        <v>7253</v>
      </c>
      <c r="E331" s="71">
        <f>Master!H228</f>
        <v>7750</v>
      </c>
      <c r="F331" s="71">
        <f>Master!I228</f>
        <v>8104.0633096683941</v>
      </c>
      <c r="G331" s="71">
        <f>Master!J228</f>
        <v>9318.403363620193</v>
      </c>
      <c r="H331" s="71">
        <f>Master!K228</f>
        <v>10253.146527691533</v>
      </c>
      <c r="I331" s="71">
        <f>Master!L228</f>
        <v>11179.017917824334</v>
      </c>
      <c r="J331" s="71">
        <f>Master!M228</f>
        <v>12172.452058331699</v>
      </c>
      <c r="K331" s="71">
        <f>Master!N228</f>
        <v>13194.676543881864</v>
      </c>
      <c r="L331" s="71">
        <f>Master!O228</f>
        <v>14288.426366602396</v>
      </c>
      <c r="M331" s="71">
        <f>Master!P228</f>
        <v>15458.166147307704</v>
      </c>
      <c r="N331" s="70"/>
      <c r="O331" s="72"/>
    </row>
    <row r="332" spans="3:15" x14ac:dyDescent="0.25">
      <c r="C332" s="24" t="s">
        <v>475</v>
      </c>
      <c r="D332" s="67">
        <f>Master!G247</f>
        <v>4884</v>
      </c>
      <c r="E332" s="67">
        <f>Master!H247</f>
        <v>3917</v>
      </c>
      <c r="F332" s="67">
        <f>Master!I247</f>
        <v>5313.1114860240396</v>
      </c>
      <c r="G332" s="67">
        <f>Master!J247</f>
        <v>6157.3856578006116</v>
      </c>
      <c r="H332" s="67">
        <f>Master!K247</f>
        <v>6633.538258306432</v>
      </c>
      <c r="I332" s="67">
        <f>Master!L247</f>
        <v>7107.361502421888</v>
      </c>
      <c r="J332" s="67">
        <f>Master!M247</f>
        <v>7608.2041492463704</v>
      </c>
      <c r="K332" s="67">
        <f>Master!N247</f>
        <v>8137.5369982260563</v>
      </c>
      <c r="L332" s="67">
        <f>Master!O247</f>
        <v>8696.6580252212188</v>
      </c>
      <c r="M332" s="67">
        <f>Master!P247</f>
        <v>9287.1680788596732</v>
      </c>
      <c r="O332" s="22" t="s">
        <v>479</v>
      </c>
    </row>
    <row r="333" spans="3:15" x14ac:dyDescent="0.25">
      <c r="C333" s="70" t="s">
        <v>476</v>
      </c>
      <c r="D333" s="71">
        <f>SUM(D331:D332)</f>
        <v>12137</v>
      </c>
      <c r="E333" s="71">
        <f t="shared" ref="E333:M333" si="37">SUM(E331:E332)</f>
        <v>11667</v>
      </c>
      <c r="F333" s="71">
        <f t="shared" si="37"/>
        <v>13417.174795692434</v>
      </c>
      <c r="G333" s="71">
        <f t="shared" si="37"/>
        <v>15475.789021420806</v>
      </c>
      <c r="H333" s="71">
        <f t="shared" si="37"/>
        <v>16886.684785997964</v>
      </c>
      <c r="I333" s="71">
        <f t="shared" si="37"/>
        <v>18286.379420246223</v>
      </c>
      <c r="J333" s="71">
        <f t="shared" si="37"/>
        <v>19780.656207578068</v>
      </c>
      <c r="K333" s="71">
        <f t="shared" si="37"/>
        <v>21332.213542107922</v>
      </c>
      <c r="L333" s="71">
        <f t="shared" si="37"/>
        <v>22985.084391823613</v>
      </c>
      <c r="M333" s="71">
        <f t="shared" si="37"/>
        <v>24745.334226167375</v>
      </c>
      <c r="N333" s="70"/>
      <c r="O333" s="72"/>
    </row>
    <row r="334" spans="3:15" x14ac:dyDescent="0.25">
      <c r="C334" s="6" t="s">
        <v>503</v>
      </c>
      <c r="D334" s="68"/>
      <c r="E334" s="68">
        <f>Master!H254</f>
        <v>8.568839087089053E-3</v>
      </c>
      <c r="F334" s="68">
        <f>Master!I254</f>
        <v>9.6084861995950899E-2</v>
      </c>
      <c r="G334" s="68">
        <f>Master!J254</f>
        <v>0.15343127424927694</v>
      </c>
      <c r="H334" s="68">
        <f>Master!K254</f>
        <v>9.1167937390737697E-2</v>
      </c>
      <c r="I334" s="68">
        <f>Master!L254</f>
        <v>8.288747329546009E-2</v>
      </c>
      <c r="J334" s="68">
        <f>Master!M254</f>
        <v>8.1715289450760231E-2</v>
      </c>
      <c r="K334" s="68">
        <f>Master!N254</f>
        <v>7.8438112378468317E-2</v>
      </c>
      <c r="L334" s="68">
        <f>Master!O254</f>
        <v>7.7482388147534165E-2</v>
      </c>
      <c r="M334" s="68">
        <f>Master!P254</f>
        <v>7.6582265452544096E-2</v>
      </c>
      <c r="O334" s="22"/>
    </row>
    <row r="335" spans="3:15" x14ac:dyDescent="0.25">
      <c r="C335" s="70"/>
      <c r="D335" s="71"/>
      <c r="E335" s="71"/>
      <c r="F335" s="71"/>
      <c r="G335" s="71"/>
      <c r="H335" s="71"/>
      <c r="I335" s="71"/>
      <c r="J335" s="72"/>
      <c r="K335" s="70"/>
      <c r="L335" s="70"/>
      <c r="M335" s="70"/>
      <c r="N335" s="70"/>
      <c r="O335" s="72"/>
    </row>
    <row r="336" spans="3:15" x14ac:dyDescent="0.25">
      <c r="C336" s="64" t="s">
        <v>483</v>
      </c>
      <c r="D336" s="65"/>
      <c r="E336" s="65"/>
      <c r="F336" s="65"/>
      <c r="G336" s="65"/>
      <c r="H336" s="65"/>
      <c r="I336" s="65"/>
      <c r="J336" s="22"/>
      <c r="O336" s="22"/>
    </row>
    <row r="337" spans="3:15" x14ac:dyDescent="0.25">
      <c r="C337" s="70" t="s">
        <v>484</v>
      </c>
      <c r="D337" s="71">
        <f>Master!G285+Master!G288</f>
        <v>1236</v>
      </c>
      <c r="E337" s="71">
        <f>Master!H285+Master!H288</f>
        <v>1038</v>
      </c>
      <c r="F337" s="71">
        <f>Master!I285+Master!I288</f>
        <v>1239.9216863792644</v>
      </c>
      <c r="G337" s="71">
        <f>Master!J285+Master!J288</f>
        <v>1321.5615205161014</v>
      </c>
      <c r="H337" s="71">
        <f>Master!K285+Master!K288</f>
        <v>1430.2127582459193</v>
      </c>
      <c r="I337" s="71">
        <f>Master!L285+Master!L288</f>
        <v>1534.1302744509414</v>
      </c>
      <c r="J337" s="71">
        <f>Master!M285+Master!M288</f>
        <v>1630.8778184314556</v>
      </c>
      <c r="K337" s="71">
        <f>Master!N285+Master!N288</f>
        <v>1740.342951301121</v>
      </c>
      <c r="L337" s="71">
        <f>Master!O285+Master!O288</f>
        <v>1855.7449313193706</v>
      </c>
      <c r="M337" s="71">
        <f>Master!P285+Master!P288</f>
        <v>1977.3862306985916</v>
      </c>
      <c r="N337" s="70"/>
      <c r="O337" s="72"/>
    </row>
    <row r="338" spans="3:15" x14ac:dyDescent="0.25">
      <c r="C338" s="24" t="s">
        <v>485</v>
      </c>
      <c r="D338" s="67">
        <f>Master!G300</f>
        <v>4884</v>
      </c>
      <c r="E338" s="67">
        <f>Master!H300</f>
        <v>3917</v>
      </c>
      <c r="F338" s="67">
        <f>Master!I300</f>
        <v>5313.1114860240396</v>
      </c>
      <c r="G338" s="67">
        <f>Master!J300</f>
        <v>6157.3856578006116</v>
      </c>
      <c r="H338" s="67">
        <f>Master!K300</f>
        <v>6633.538258306432</v>
      </c>
      <c r="I338" s="67">
        <f>Master!L300</f>
        <v>7107.361502421888</v>
      </c>
      <c r="J338" s="67">
        <f>Master!M300</f>
        <v>7608.2041492463704</v>
      </c>
      <c r="K338" s="67">
        <f>Master!N300</f>
        <v>8137.5369982260563</v>
      </c>
      <c r="L338" s="67">
        <f>Master!O300</f>
        <v>8696.6580252212188</v>
      </c>
      <c r="M338" s="67">
        <f>Master!P300</f>
        <v>9287.1680788596732</v>
      </c>
      <c r="O338" s="22"/>
    </row>
    <row r="339" spans="3:15" x14ac:dyDescent="0.25">
      <c r="C339" s="70" t="s">
        <v>245</v>
      </c>
      <c r="D339" s="71">
        <f>Master!G303</f>
        <v>6017</v>
      </c>
      <c r="E339" s="71">
        <f>Master!H303</f>
        <v>7286</v>
      </c>
      <c r="F339" s="71">
        <f>Master!I303</f>
        <v>6864.1416232891297</v>
      </c>
      <c r="G339" s="71">
        <f>Master!J303</f>
        <v>7996.8418431040927</v>
      </c>
      <c r="H339" s="71">
        <f>Master!K303</f>
        <v>8822.9337694456117</v>
      </c>
      <c r="I339" s="71">
        <f>Master!L303</f>
        <v>9644.8876433733931</v>
      </c>
      <c r="J339" s="71">
        <f>Master!M303</f>
        <v>10541.574239900243</v>
      </c>
      <c r="K339" s="71">
        <f>Master!N303</f>
        <v>11454.333592580744</v>
      </c>
      <c r="L339" s="71">
        <f>Master!O303</f>
        <v>12432.681435283022</v>
      </c>
      <c r="M339" s="71">
        <f>Master!P303</f>
        <v>13480.779916609108</v>
      </c>
      <c r="N339" s="70"/>
      <c r="O339" s="72"/>
    </row>
    <row r="340" spans="3:15" x14ac:dyDescent="0.25">
      <c r="C340" s="6" t="s">
        <v>486</v>
      </c>
      <c r="D340" s="68">
        <f>D339/D333</f>
        <v>0.49575677679822033</v>
      </c>
      <c r="E340" s="68">
        <f t="shared" ref="E340:M340" si="38">E339/E333</f>
        <v>0.6244964429587726</v>
      </c>
      <c r="F340" s="68">
        <f t="shared" si="38"/>
        <v>0.51159366467319578</v>
      </c>
      <c r="G340" s="68">
        <f t="shared" si="38"/>
        <v>0.51673241551918725</v>
      </c>
      <c r="H340" s="68">
        <f t="shared" si="38"/>
        <v>0.52247873879669837</v>
      </c>
      <c r="I340" s="68">
        <f t="shared" si="38"/>
        <v>0.52743560776688325</v>
      </c>
      <c r="J340" s="68">
        <f t="shared" si="38"/>
        <v>0.53292338379864834</v>
      </c>
      <c r="K340" s="68">
        <f t="shared" si="38"/>
        <v>0.53695007177623144</v>
      </c>
      <c r="L340" s="68">
        <f t="shared" si="38"/>
        <v>0.5409021443360742</v>
      </c>
      <c r="M340" s="68">
        <f t="shared" si="38"/>
        <v>0.54478067636498628</v>
      </c>
      <c r="O340" s="22"/>
    </row>
    <row r="341" spans="3:15" x14ac:dyDescent="0.25">
      <c r="C341" s="70"/>
      <c r="D341" s="71"/>
      <c r="E341" s="71"/>
      <c r="F341" s="71"/>
      <c r="G341" s="71"/>
      <c r="H341" s="71"/>
      <c r="I341" s="71"/>
      <c r="J341" s="72"/>
      <c r="K341" s="70"/>
      <c r="L341" s="70"/>
      <c r="M341" s="70"/>
      <c r="N341" s="70"/>
      <c r="O341" s="72"/>
    </row>
    <row r="342" spans="3:15" x14ac:dyDescent="0.25">
      <c r="C342" s="64" t="s">
        <v>146</v>
      </c>
      <c r="D342" s="65"/>
      <c r="E342" s="65"/>
      <c r="F342" s="65"/>
      <c r="G342" s="65"/>
      <c r="H342" s="65"/>
      <c r="I342" s="65"/>
      <c r="J342" s="22"/>
      <c r="O342" s="22"/>
    </row>
    <row r="343" spans="3:15" x14ac:dyDescent="0.25">
      <c r="C343" s="70" t="s">
        <v>487</v>
      </c>
      <c r="D343" s="71"/>
      <c r="E343" s="71">
        <f>Master!H352</f>
        <v>85</v>
      </c>
      <c r="F343" s="71">
        <f>Master!I352</f>
        <v>90</v>
      </c>
      <c r="G343" s="71">
        <f>Master!J352</f>
        <v>88.2</v>
      </c>
      <c r="H343" s="71">
        <f>Master!K352</f>
        <v>86.436000000000007</v>
      </c>
      <c r="I343" s="71">
        <f>Master!L352</f>
        <v>84.707280000000011</v>
      </c>
      <c r="J343" s="71">
        <f>Master!M352</f>
        <v>84.707280000000011</v>
      </c>
      <c r="K343" s="71">
        <f>Master!N352</f>
        <v>84.707280000000011</v>
      </c>
      <c r="L343" s="71">
        <f>Master!O352</f>
        <v>84.707280000000011</v>
      </c>
      <c r="M343" s="71">
        <f>Master!P352</f>
        <v>84.707280000000011</v>
      </c>
      <c r="N343" s="70"/>
      <c r="O343" s="72" t="s">
        <v>495</v>
      </c>
    </row>
    <row r="344" spans="3:15" x14ac:dyDescent="0.25">
      <c r="C344" s="6" t="s">
        <v>488</v>
      </c>
      <c r="D344" s="65"/>
      <c r="E344" s="65">
        <f>Master!H346</f>
        <v>766.46000000000015</v>
      </c>
      <c r="F344" s="65">
        <f>Master!I346</f>
        <v>1669.2840000000001</v>
      </c>
      <c r="G344" s="65">
        <f>Master!J346</f>
        <v>3171.3192000000004</v>
      </c>
      <c r="H344" s="65">
        <f>Master!K346</f>
        <v>2060.5329370080003</v>
      </c>
      <c r="I344" s="65">
        <f>Master!L346</f>
        <v>2059.7087238331974</v>
      </c>
      <c r="J344" s="65">
        <f>Master!M346</f>
        <v>2100.9028983098615</v>
      </c>
      <c r="K344" s="65">
        <f>Master!N346</f>
        <v>2142.9209562760589</v>
      </c>
      <c r="L344" s="65">
        <f>Master!O346</f>
        <v>2185.7793754015802</v>
      </c>
      <c r="M344" s="65">
        <f>Master!P346</f>
        <v>2229.4949629096113</v>
      </c>
      <c r="O344" s="22" t="s">
        <v>496</v>
      </c>
    </row>
    <row r="345" spans="3:15" x14ac:dyDescent="0.25">
      <c r="C345" s="70"/>
      <c r="D345" s="71"/>
      <c r="E345" s="71"/>
      <c r="F345" s="71"/>
      <c r="G345" s="71"/>
      <c r="H345" s="71"/>
      <c r="I345" s="71"/>
      <c r="J345" s="72"/>
      <c r="K345" s="70"/>
      <c r="L345" s="70"/>
      <c r="M345" s="70"/>
      <c r="N345" s="70"/>
      <c r="O345" s="72" t="s">
        <v>497</v>
      </c>
    </row>
    <row r="346" spans="3:15" x14ac:dyDescent="0.25">
      <c r="C346" s="6" t="s">
        <v>489</v>
      </c>
      <c r="D346" s="65"/>
      <c r="E346" s="65">
        <f>E339-E344</f>
        <v>6519.54</v>
      </c>
      <c r="F346" s="65">
        <f t="shared" ref="F346:M346" si="39">F339-F344</f>
        <v>5194.8576232891301</v>
      </c>
      <c r="G346" s="65">
        <f t="shared" si="39"/>
        <v>4825.5226431040919</v>
      </c>
      <c r="H346" s="65">
        <f t="shared" si="39"/>
        <v>6762.4008324376118</v>
      </c>
      <c r="I346" s="65">
        <f t="shared" si="39"/>
        <v>7585.1789195401961</v>
      </c>
      <c r="J346" s="65">
        <f t="shared" si="39"/>
        <v>8440.6713415903814</v>
      </c>
      <c r="K346" s="65">
        <f t="shared" si="39"/>
        <v>9311.4126363046853</v>
      </c>
      <c r="L346" s="65">
        <f t="shared" si="39"/>
        <v>10246.902059881442</v>
      </c>
      <c r="M346" s="65">
        <f t="shared" si="39"/>
        <v>11251.284953699496</v>
      </c>
      <c r="O346" s="22"/>
    </row>
    <row r="347" spans="3:15" x14ac:dyDescent="0.25">
      <c r="C347" s="70"/>
      <c r="D347" s="71"/>
      <c r="E347" s="71"/>
      <c r="F347" s="71"/>
      <c r="G347" s="71"/>
      <c r="H347" s="71"/>
      <c r="I347" s="71"/>
      <c r="J347" s="72"/>
      <c r="K347" s="70"/>
      <c r="L347" s="70"/>
      <c r="M347" s="70"/>
      <c r="N347" s="70"/>
      <c r="O347" s="72"/>
    </row>
    <row r="348" spans="3:15" x14ac:dyDescent="0.25">
      <c r="C348" s="6" t="s">
        <v>491</v>
      </c>
      <c r="D348" s="65"/>
      <c r="E348" s="65">
        <f>-Master!H311</f>
        <v>3061</v>
      </c>
      <c r="F348" s="65">
        <f>-Master!I311</f>
        <v>4300</v>
      </c>
      <c r="G348" s="65">
        <f ca="1">-Master!J311</f>
        <v>4215.664265502237</v>
      </c>
      <c r="H348" s="65">
        <f ca="1">-Master!K311</f>
        <v>4141.2299658474876</v>
      </c>
      <c r="I348" s="65">
        <f ca="1">-Master!L311</f>
        <v>3996.3868381930924</v>
      </c>
      <c r="J348" s="65">
        <f ca="1">-Master!M311</f>
        <v>3822.5771308512612</v>
      </c>
      <c r="K348" s="65">
        <f ca="1">-Master!N311</f>
        <v>3616.2590496412035</v>
      </c>
      <c r="L348" s="65">
        <f ca="1">-Master!O311</f>
        <v>3372.4176636314228</v>
      </c>
      <c r="M348" s="65">
        <f ca="1">-Master!P311</f>
        <v>3084.409243421188</v>
      </c>
      <c r="O348" s="22" t="s">
        <v>492</v>
      </c>
    </row>
    <row r="349" spans="3:15" x14ac:dyDescent="0.25">
      <c r="C349" s="70" t="s">
        <v>463</v>
      </c>
      <c r="D349" s="71"/>
      <c r="E349" s="71">
        <f>-Master!H327</f>
        <v>1145</v>
      </c>
      <c r="F349" s="71">
        <f>-Master!I327</f>
        <v>2300</v>
      </c>
      <c r="G349" s="71">
        <f ca="1">-Master!J327</f>
        <v>389.4122617360519</v>
      </c>
      <c r="H349" s="71">
        <f ca="1">-Master!K327</f>
        <v>980.75949108718851</v>
      </c>
      <c r="I349" s="71">
        <f ca="1">-Master!L327</f>
        <v>1608.1252654901496</v>
      </c>
      <c r="J349" s="71">
        <f ca="1">-Master!M327</f>
        <v>2253.5183430503316</v>
      </c>
      <c r="K349" s="71">
        <f ca="1">-Master!N327</f>
        <v>2901.7774241011134</v>
      </c>
      <c r="L349" s="71">
        <f ca="1">-Master!O327</f>
        <v>3571.8259085704271</v>
      </c>
      <c r="M349" s="71">
        <f ca="1">-Master!P327</f>
        <v>4269.3236927175267</v>
      </c>
      <c r="N349" s="70"/>
      <c r="O349" s="72" t="s">
        <v>493</v>
      </c>
    </row>
    <row r="350" spans="3:15" x14ac:dyDescent="0.25">
      <c r="C350" s="6" t="s">
        <v>37</v>
      </c>
      <c r="D350" s="65"/>
      <c r="E350" s="65">
        <f>E346-E348-E349</f>
        <v>2313.54</v>
      </c>
      <c r="F350" s="65">
        <f t="shared" ref="F350:M350" si="40">F346-F348-F349</f>
        <v>-1405.1423767108699</v>
      </c>
      <c r="G350" s="65">
        <f t="shared" ca="1" si="40"/>
        <v>220.44611586580305</v>
      </c>
      <c r="H350" s="65">
        <f t="shared" ca="1" si="40"/>
        <v>1640.4113755029357</v>
      </c>
      <c r="I350" s="65">
        <f t="shared" ca="1" si="40"/>
        <v>1980.6668158569541</v>
      </c>
      <c r="J350" s="65">
        <f t="shared" ca="1" si="40"/>
        <v>2364.5758676887885</v>
      </c>
      <c r="K350" s="65">
        <f t="shared" ca="1" si="40"/>
        <v>2793.3761625623688</v>
      </c>
      <c r="L350" s="65">
        <f t="shared" ca="1" si="40"/>
        <v>3302.6584876795928</v>
      </c>
      <c r="M350" s="65">
        <f t="shared" ca="1" si="40"/>
        <v>3897.5520175607817</v>
      </c>
      <c r="O350" s="22"/>
    </row>
    <row r="351" spans="3:15" x14ac:dyDescent="0.25">
      <c r="C351" s="70"/>
      <c r="D351" s="71"/>
      <c r="E351" s="71"/>
      <c r="F351" s="71"/>
      <c r="G351" s="71"/>
      <c r="H351" s="71"/>
      <c r="I351" s="71"/>
      <c r="J351" s="72"/>
      <c r="K351" s="70"/>
      <c r="L351" s="70"/>
      <c r="M351" s="70"/>
      <c r="N351" s="70"/>
      <c r="O351" s="72"/>
    </row>
    <row r="352" spans="3:15" x14ac:dyDescent="0.25">
      <c r="C352" s="6" t="s">
        <v>494</v>
      </c>
      <c r="D352" s="65"/>
      <c r="E352" s="65">
        <v>0</v>
      </c>
      <c r="F352" s="65">
        <v>0</v>
      </c>
      <c r="G352" s="65">
        <v>0</v>
      </c>
      <c r="H352" s="65">
        <v>0</v>
      </c>
      <c r="I352" s="65">
        <v>0</v>
      </c>
      <c r="J352" s="65">
        <v>0</v>
      </c>
      <c r="K352" s="65">
        <v>0</v>
      </c>
      <c r="L352" s="65">
        <v>0</v>
      </c>
      <c r="M352" s="65">
        <v>0</v>
      </c>
      <c r="O352" s="22" t="s">
        <v>502</v>
      </c>
    </row>
    <row r="353" spans="3:15" x14ac:dyDescent="0.25">
      <c r="C353" s="70"/>
      <c r="D353" s="71"/>
      <c r="E353" s="71"/>
      <c r="F353" s="71"/>
      <c r="G353" s="71"/>
      <c r="H353" s="71"/>
      <c r="I353" s="71"/>
      <c r="J353" s="72"/>
      <c r="K353" s="70"/>
      <c r="L353" s="70"/>
      <c r="M353" s="70"/>
      <c r="N353" s="70"/>
      <c r="O353" s="72"/>
    </row>
    <row r="354" spans="3:15" x14ac:dyDescent="0.25">
      <c r="C354" s="6" t="s">
        <v>498</v>
      </c>
      <c r="D354" s="65"/>
      <c r="E354" s="65">
        <f>Master!H340</f>
        <v>44370.883999999998</v>
      </c>
      <c r="F354" s="65">
        <f>Master!I340</f>
        <v>52806.02637671087</v>
      </c>
      <c r="G354" s="65">
        <f ca="1">Master!J340</f>
        <v>52585.580260845061</v>
      </c>
      <c r="H354" s="65">
        <f ca="1">Master!K340</f>
        <v>50945.168885342129</v>
      </c>
      <c r="I354" s="65">
        <f ca="1">Master!L340</f>
        <v>48964.50206948517</v>
      </c>
      <c r="J354" s="65">
        <f ca="1">Master!M340</f>
        <v>46599.92620179637</v>
      </c>
      <c r="K354" s="65">
        <f ca="1">Master!N340</f>
        <v>43806.550039233727</v>
      </c>
      <c r="L354" s="65">
        <f ca="1">Master!O340</f>
        <v>40503.891551551838</v>
      </c>
      <c r="M354" s="65">
        <f ca="1">Master!P340</f>
        <v>36606.339533977865</v>
      </c>
      <c r="O354" s="22"/>
    </row>
    <row r="355" spans="3:15" x14ac:dyDescent="0.25">
      <c r="C355" s="70" t="s">
        <v>490</v>
      </c>
      <c r="D355" s="71"/>
      <c r="E355" s="71">
        <f>Master!B492</f>
        <v>2157.8968762067352</v>
      </c>
      <c r="F355" s="71">
        <f>Master!B506</f>
        <v>5807.4202792512651</v>
      </c>
      <c r="G355" s="71"/>
      <c r="H355" s="71"/>
      <c r="I355" s="71"/>
      <c r="J355" s="72"/>
      <c r="K355" s="70"/>
      <c r="L355" s="70"/>
      <c r="M355" s="70"/>
      <c r="N355" s="70"/>
      <c r="O355" s="72" t="s">
        <v>500</v>
      </c>
    </row>
    <row r="356" spans="3:15" x14ac:dyDescent="0.25">
      <c r="C356" s="6" t="s">
        <v>499</v>
      </c>
      <c r="D356" s="65"/>
      <c r="E356" s="76">
        <f>E354/E339</f>
        <v>6.0898825144111992</v>
      </c>
      <c r="F356" s="76">
        <f t="shared" ref="F356:M356" si="41">F354/F339</f>
        <v>7.6930269325369061</v>
      </c>
      <c r="G356" s="76">
        <f t="shared" ca="1" si="41"/>
        <v>6.5757934560367879</v>
      </c>
      <c r="H356" s="76">
        <f t="shared" ca="1" si="41"/>
        <v>5.7741755992511852</v>
      </c>
      <c r="I356" s="76">
        <f t="shared" ca="1" si="41"/>
        <v>5.07673120517134</v>
      </c>
      <c r="J356" s="76">
        <f t="shared" ca="1" si="41"/>
        <v>4.4205851176775806</v>
      </c>
      <c r="K356" s="76">
        <f t="shared" ca="1" si="41"/>
        <v>3.8244520892606371</v>
      </c>
      <c r="L356" s="76">
        <f t="shared" ca="1" si="41"/>
        <v>3.257856461809181</v>
      </c>
      <c r="M356" s="76">
        <f t="shared" ca="1" si="41"/>
        <v>2.7154467145388761</v>
      </c>
      <c r="O356" s="22" t="s">
        <v>501</v>
      </c>
    </row>
    <row r="357" spans="3:15" x14ac:dyDescent="0.25">
      <c r="D357" s="65"/>
      <c r="E357" s="65"/>
      <c r="F357" s="65"/>
      <c r="G357" s="65"/>
      <c r="H357" s="65"/>
      <c r="I357" s="65"/>
      <c r="J357" s="22"/>
    </row>
    <row r="358" spans="3:15" x14ac:dyDescent="0.25">
      <c r="D358" s="65"/>
      <c r="E358" s="65"/>
      <c r="F358" s="65"/>
      <c r="G358" s="65"/>
      <c r="H358" s="65"/>
      <c r="I358" s="65"/>
      <c r="J358" s="22"/>
    </row>
    <row r="359" spans="3:15" ht="15.75" thickBot="1" x14ac:dyDescent="0.3">
      <c r="D359" s="65"/>
      <c r="E359" s="65"/>
      <c r="F359" s="65"/>
      <c r="G359" s="65"/>
      <c r="H359" s="65"/>
      <c r="I359" s="65"/>
      <c r="J359" s="22"/>
    </row>
    <row r="360" spans="3:15" ht="15.75" thickBot="1" x14ac:dyDescent="0.3">
      <c r="C360" s="6" t="s">
        <v>538</v>
      </c>
      <c r="D360" s="65"/>
      <c r="E360" s="16"/>
      <c r="F360" s="16"/>
      <c r="G360" s="65"/>
      <c r="H360" s="65"/>
      <c r="I360" s="65"/>
      <c r="J360" s="110">
        <v>12.3</v>
      </c>
      <c r="K360" s="65"/>
      <c r="L360" s="22"/>
    </row>
    <row r="361" spans="3:15" x14ac:dyDescent="0.25">
      <c r="C361" s="97" t="s">
        <v>535</v>
      </c>
      <c r="D361" s="98"/>
      <c r="E361" s="99">
        <f>F361-1</f>
        <v>7</v>
      </c>
      <c r="F361" s="99">
        <f>G361-1</f>
        <v>8</v>
      </c>
      <c r="G361" s="99">
        <f>H361-1</f>
        <v>9</v>
      </c>
      <c r="H361" s="104">
        <f>I361-1</f>
        <v>10</v>
      </c>
      <c r="I361" s="105">
        <f>J361-1</f>
        <v>11</v>
      </c>
      <c r="J361" s="99">
        <v>12</v>
      </c>
      <c r="K361" s="99">
        <f>J361+1</f>
        <v>13</v>
      </c>
      <c r="L361" s="99">
        <f>K361+1</f>
        <v>14</v>
      </c>
      <c r="M361" s="99">
        <f>L361+1</f>
        <v>15</v>
      </c>
    </row>
    <row r="362" spans="3:15" x14ac:dyDescent="0.25">
      <c r="C362" s="6" t="s">
        <v>437</v>
      </c>
      <c r="D362" s="65"/>
      <c r="E362" s="65">
        <f>E361*Master!$I$303</f>
        <v>48048.99136302391</v>
      </c>
      <c r="F362" s="65">
        <f>F361*Master!$I$303</f>
        <v>54913.132986313038</v>
      </c>
      <c r="G362" s="65">
        <f>G361*Master!$I$303</f>
        <v>61777.274609602166</v>
      </c>
      <c r="H362" s="106">
        <f>H361*Master!$I$303</f>
        <v>68641.416232891293</v>
      </c>
      <c r="I362" s="107">
        <f>I361*Master!$I$303</f>
        <v>75505.557856180429</v>
      </c>
      <c r="J362" s="65">
        <f>J361*Master!$I$303</f>
        <v>82369.699479469564</v>
      </c>
      <c r="K362" s="65">
        <f>K361*Master!$I$303</f>
        <v>89233.841102758684</v>
      </c>
      <c r="L362" s="65">
        <f>L361*Master!$I$303</f>
        <v>96097.98272604782</v>
      </c>
      <c r="M362" s="65">
        <f>M361*Master!$I$303</f>
        <v>102962.12434933694</v>
      </c>
    </row>
    <row r="363" spans="3:15" x14ac:dyDescent="0.25">
      <c r="C363" s="6" t="s">
        <v>539</v>
      </c>
      <c r="D363" s="65"/>
      <c r="E363" s="65">
        <f>Master!I340</f>
        <v>52806.02637671087</v>
      </c>
      <c r="F363" s="65">
        <f>E363</f>
        <v>52806.02637671087</v>
      </c>
      <c r="G363" s="65">
        <f>F363</f>
        <v>52806.02637671087</v>
      </c>
      <c r="H363" s="106">
        <f t="shared" ref="H363:L364" si="42">G363</f>
        <v>52806.02637671087</v>
      </c>
      <c r="I363" s="107">
        <f t="shared" si="42"/>
        <v>52806.02637671087</v>
      </c>
      <c r="J363" s="65">
        <f>I363</f>
        <v>52806.02637671087</v>
      </c>
      <c r="K363" s="65">
        <f t="shared" si="42"/>
        <v>52806.02637671087</v>
      </c>
      <c r="L363" s="65">
        <f t="shared" si="42"/>
        <v>52806.02637671087</v>
      </c>
      <c r="M363" s="65">
        <f>L363</f>
        <v>52806.02637671087</v>
      </c>
    </row>
    <row r="364" spans="3:15" x14ac:dyDescent="0.25">
      <c r="C364" s="6" t="s">
        <v>88</v>
      </c>
      <c r="D364" s="65"/>
      <c r="E364" s="65">
        <f ca="1">Master!B443</f>
        <v>1353.3272402552245</v>
      </c>
      <c r="F364" s="65">
        <f ca="1">E364</f>
        <v>1353.3272402552245</v>
      </c>
      <c r="G364" s="65">
        <f ca="1">F364</f>
        <v>1353.3272402552245</v>
      </c>
      <c r="H364" s="106">
        <f t="shared" ca="1" si="42"/>
        <v>1353.3272402552245</v>
      </c>
      <c r="I364" s="107">
        <f t="shared" ca="1" si="42"/>
        <v>1353.3272402552245</v>
      </c>
      <c r="J364" s="65">
        <f ca="1">I364</f>
        <v>1353.3272402552245</v>
      </c>
      <c r="K364" s="65">
        <f t="shared" ca="1" si="42"/>
        <v>1353.3272402552245</v>
      </c>
      <c r="L364" s="65">
        <f t="shared" ca="1" si="42"/>
        <v>1353.3272402552245</v>
      </c>
      <c r="M364" s="65">
        <f ca="1">L364</f>
        <v>1353.3272402552245</v>
      </c>
    </row>
    <row r="365" spans="3:15" x14ac:dyDescent="0.25">
      <c r="C365" s="6" t="s">
        <v>534</v>
      </c>
      <c r="D365" s="65"/>
      <c r="E365" s="65">
        <f ca="1">E362-E363-E364</f>
        <v>-6110.3622539421849</v>
      </c>
      <c r="F365" s="65">
        <f t="shared" ref="F365:M365" ca="1" si="43">F362-F363-F364</f>
        <v>753.77936934694321</v>
      </c>
      <c r="G365" s="65">
        <f t="shared" ca="1" si="43"/>
        <v>7617.9209926360709</v>
      </c>
      <c r="H365" s="106">
        <f t="shared" ca="1" si="43"/>
        <v>14482.062615925199</v>
      </c>
      <c r="I365" s="107">
        <f t="shared" ca="1" si="43"/>
        <v>21346.204239214334</v>
      </c>
      <c r="J365" s="65">
        <f t="shared" ca="1" si="43"/>
        <v>28210.345862503469</v>
      </c>
      <c r="K365" s="65">
        <f t="shared" ca="1" si="43"/>
        <v>35074.48748579259</v>
      </c>
      <c r="L365" s="65">
        <f t="shared" ca="1" si="43"/>
        <v>41938.629109081725</v>
      </c>
      <c r="M365" s="65">
        <f t="shared" ca="1" si="43"/>
        <v>48802.770732370846</v>
      </c>
    </row>
    <row r="366" spans="3:15" ht="15.75" thickBot="1" x14ac:dyDescent="0.3">
      <c r="C366" s="6" t="s">
        <v>448</v>
      </c>
      <c r="D366" s="65"/>
      <c r="E366" s="65">
        <f>Master!G405</f>
        <v>3189.4</v>
      </c>
      <c r="F366" s="65">
        <f>Master!H405</f>
        <v>3189.4</v>
      </c>
      <c r="G366" s="65">
        <f>Master!I405</f>
        <v>3189.4</v>
      </c>
      <c r="H366" s="106">
        <f t="shared" ref="H366:M366" si="44">G366</f>
        <v>3189.4</v>
      </c>
      <c r="I366" s="107">
        <f t="shared" si="44"/>
        <v>3189.4</v>
      </c>
      <c r="J366" s="65">
        <f t="shared" si="44"/>
        <v>3189.4</v>
      </c>
      <c r="K366" s="65">
        <f t="shared" si="44"/>
        <v>3189.4</v>
      </c>
      <c r="L366" s="65">
        <f t="shared" si="44"/>
        <v>3189.4</v>
      </c>
      <c r="M366" s="65">
        <f t="shared" si="44"/>
        <v>3189.4</v>
      </c>
    </row>
    <row r="367" spans="3:15" ht="15.75" thickBot="1" x14ac:dyDescent="0.3">
      <c r="C367" s="100" t="s">
        <v>536</v>
      </c>
      <c r="D367" s="101"/>
      <c r="E367" s="102">
        <f ca="1">E365/E366</f>
        <v>-1.9158344058262322</v>
      </c>
      <c r="F367" s="102">
        <f ca="1">F365/F366</f>
        <v>0.23633892561200953</v>
      </c>
      <c r="G367" s="102">
        <f ca="1">G365/G366</f>
        <v>2.3885122570502508</v>
      </c>
      <c r="H367" s="108">
        <f t="shared" ref="H367:M367" ca="1" si="45">H365/H366</f>
        <v>4.5406855884884925</v>
      </c>
      <c r="I367" s="109">
        <f t="shared" ca="1" si="45"/>
        <v>6.6928589199267368</v>
      </c>
      <c r="J367" s="102">
        <f t="shared" ca="1" si="45"/>
        <v>8.8450322513649802</v>
      </c>
      <c r="K367" s="102">
        <f t="shared" ca="1" si="45"/>
        <v>10.99720558280322</v>
      </c>
      <c r="L367" s="102">
        <f t="shared" ca="1" si="45"/>
        <v>13.149378914241463</v>
      </c>
      <c r="M367" s="103">
        <f t="shared" ca="1" si="45"/>
        <v>15.301552245679703</v>
      </c>
    </row>
    <row r="368" spans="3:15" x14ac:dyDescent="0.25">
      <c r="D368" s="65"/>
      <c r="E368" s="65"/>
      <c r="F368" s="65"/>
      <c r="G368" s="65"/>
      <c r="H368" s="65"/>
      <c r="I368" s="65"/>
      <c r="J368" s="22"/>
    </row>
    <row r="369" spans="4:9" x14ac:dyDescent="0.25">
      <c r="D369" s="12"/>
      <c r="E369" s="12"/>
      <c r="F369" s="12"/>
      <c r="G369" s="12"/>
      <c r="H369" s="12"/>
      <c r="I369" s="12"/>
    </row>
    <row r="370" spans="4:9" x14ac:dyDescent="0.25">
      <c r="D370" s="12"/>
      <c r="E370" s="12"/>
      <c r="F370" s="12"/>
      <c r="G370" s="12"/>
      <c r="H370" s="12"/>
      <c r="I370" s="12"/>
    </row>
  </sheetData>
  <sortState xmlns:xlrd2="http://schemas.microsoft.com/office/spreadsheetml/2017/richdata2" ref="G45:H58">
    <sortCondition ref="H45:H58"/>
  </sortState>
  <mergeCells count="12">
    <mergeCell ref="AL3:AL9"/>
    <mergeCell ref="AM3:AM9"/>
    <mergeCell ref="AN3:AN9"/>
    <mergeCell ref="AJ3:AJ9"/>
    <mergeCell ref="AK3:AK9"/>
    <mergeCell ref="AH3:AH9"/>
    <mergeCell ref="AI3:AI9"/>
    <mergeCell ref="AC3:AC9"/>
    <mergeCell ref="AD3:AD9"/>
    <mergeCell ref="AE3:AE9"/>
    <mergeCell ref="AF3:AF9"/>
    <mergeCell ref="AG3:AG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F4464-BA50-4BB3-816F-72253521C88B}">
  <dimension ref="A6:W358"/>
  <sheetViews>
    <sheetView topLeftCell="A228" zoomScale="85" zoomScaleNormal="85" workbookViewId="0">
      <selection activeCell="E237" sqref="E237"/>
    </sheetView>
  </sheetViews>
  <sheetFormatPr defaultRowHeight="15" x14ac:dyDescent="0.25"/>
  <cols>
    <col min="1" max="1" width="35.42578125" customWidth="1"/>
    <col min="2" max="15" width="11.7109375" customWidth="1"/>
  </cols>
  <sheetData>
    <row r="6" spans="1:6" x14ac:dyDescent="0.25">
      <c r="A6" t="s">
        <v>35</v>
      </c>
    </row>
    <row r="7" spans="1:6" x14ac:dyDescent="0.25">
      <c r="A7" t="s">
        <v>580</v>
      </c>
      <c r="B7" t="s">
        <v>579</v>
      </c>
      <c r="C7" t="s">
        <v>519</v>
      </c>
      <c r="D7" t="s">
        <v>577</v>
      </c>
      <c r="E7" t="s">
        <v>558</v>
      </c>
      <c r="F7" t="s">
        <v>666</v>
      </c>
    </row>
    <row r="8" spans="1:6" x14ac:dyDescent="0.25">
      <c r="A8" t="s">
        <v>669</v>
      </c>
      <c r="B8" s="23">
        <v>0.12039279580782947</v>
      </c>
      <c r="C8" s="23">
        <v>2.4407499115670195E-2</v>
      </c>
      <c r="D8" s="23">
        <v>1.7521485573971818E-2</v>
      </c>
      <c r="E8" s="23">
        <v>3.0855920738080522E-2</v>
      </c>
      <c r="F8" s="23">
        <v>3.7345916090566478E-2</v>
      </c>
    </row>
    <row r="9" spans="1:6" x14ac:dyDescent="0.25">
      <c r="A9" t="s">
        <v>255</v>
      </c>
      <c r="E9" s="23">
        <f>Interims!AJ59</f>
        <v>-5.7536076143690495E-2</v>
      </c>
      <c r="F9" s="23">
        <f>Interims!L59</f>
        <v>2.6282860498337612E-2</v>
      </c>
    </row>
    <row r="26" spans="1:11" x14ac:dyDescent="0.25">
      <c r="A26" t="s">
        <v>674</v>
      </c>
      <c r="C26" t="s">
        <v>670</v>
      </c>
      <c r="D26" t="s">
        <v>671</v>
      </c>
      <c r="E26" t="s">
        <v>672</v>
      </c>
      <c r="F26" t="s">
        <v>673</v>
      </c>
      <c r="G26" t="s">
        <v>579</v>
      </c>
      <c r="H26" t="s">
        <v>519</v>
      </c>
      <c r="I26" t="s">
        <v>577</v>
      </c>
      <c r="J26" t="s">
        <v>558</v>
      </c>
      <c r="K26" t="s">
        <v>666</v>
      </c>
    </row>
    <row r="27" spans="1:11" x14ac:dyDescent="0.25">
      <c r="A27" t="s">
        <v>669</v>
      </c>
      <c r="C27">
        <v>18333</v>
      </c>
      <c r="D27">
        <v>18611</v>
      </c>
      <c r="E27">
        <v>18875</v>
      </c>
      <c r="F27">
        <v>20049</v>
      </c>
      <c r="G27">
        <v>20302</v>
      </c>
      <c r="H27">
        <v>20707</v>
      </c>
      <c r="I27">
        <v>21053</v>
      </c>
      <c r="J27">
        <v>21702</v>
      </c>
      <c r="K27">
        <v>21869</v>
      </c>
    </row>
    <row r="28" spans="1:11" x14ac:dyDescent="0.25">
      <c r="A28" t="s">
        <v>255</v>
      </c>
      <c r="H28" s="27">
        <f>Interims!G4</f>
        <v>29090</v>
      </c>
      <c r="I28" s="27">
        <f>Interims!H4</f>
        <v>29163</v>
      </c>
      <c r="J28" s="27">
        <f>Interims!I4</f>
        <v>29727</v>
      </c>
      <c r="K28" s="27">
        <f>Interims!L4</f>
        <v>34116</v>
      </c>
    </row>
    <row r="31" spans="1:11" x14ac:dyDescent="0.25">
      <c r="A31" t="s">
        <v>675</v>
      </c>
      <c r="C31" t="s">
        <v>670</v>
      </c>
      <c r="D31" t="s">
        <v>671</v>
      </c>
      <c r="E31" t="s">
        <v>672</v>
      </c>
      <c r="F31" t="s">
        <v>673</v>
      </c>
      <c r="G31" t="s">
        <v>579</v>
      </c>
      <c r="H31" t="s">
        <v>519</v>
      </c>
      <c r="I31" t="s">
        <v>577</v>
      </c>
      <c r="J31" t="s">
        <v>558</v>
      </c>
      <c r="K31" t="s">
        <v>666</v>
      </c>
    </row>
    <row r="32" spans="1:11" x14ac:dyDescent="0.25">
      <c r="A32" t="s">
        <v>669</v>
      </c>
      <c r="G32">
        <v>253</v>
      </c>
      <c r="H32">
        <v>405</v>
      </c>
      <c r="I32">
        <v>346</v>
      </c>
      <c r="J32">
        <v>261</v>
      </c>
      <c r="K32">
        <v>167</v>
      </c>
    </row>
    <row r="33" spans="1:18" x14ac:dyDescent="0.25">
      <c r="A33" t="s">
        <v>255</v>
      </c>
      <c r="I33">
        <v>73</v>
      </c>
      <c r="J33">
        <v>64</v>
      </c>
      <c r="K33">
        <v>21</v>
      </c>
    </row>
    <row r="36" spans="1:18" x14ac:dyDescent="0.25">
      <c r="G36">
        <v>253</v>
      </c>
      <c r="H36">
        <v>405</v>
      </c>
      <c r="I36">
        <v>346</v>
      </c>
      <c r="J36">
        <v>261</v>
      </c>
      <c r="K36">
        <v>167</v>
      </c>
    </row>
    <row r="37" spans="1:18" x14ac:dyDescent="0.25">
      <c r="H37" s="27">
        <f>H28</f>
        <v>29090</v>
      </c>
      <c r="I37" s="27">
        <f>I28</f>
        <v>29163</v>
      </c>
      <c r="J37" s="27">
        <f>J28-500</f>
        <v>29227</v>
      </c>
      <c r="K37" s="27">
        <f>K28-1388-2980</f>
        <v>29748</v>
      </c>
    </row>
    <row r="38" spans="1:18" x14ac:dyDescent="0.25">
      <c r="I38" s="27">
        <f>I37-H37</f>
        <v>73</v>
      </c>
      <c r="J38" s="27">
        <f>J37-I37</f>
        <v>64</v>
      </c>
      <c r="K38" s="27">
        <v>21</v>
      </c>
    </row>
    <row r="46" spans="1:18" x14ac:dyDescent="0.25">
      <c r="A46" t="s">
        <v>684</v>
      </c>
      <c r="B46" t="s">
        <v>676</v>
      </c>
      <c r="C46" t="s">
        <v>677</v>
      </c>
      <c r="D46" t="s">
        <v>678</v>
      </c>
      <c r="E46" t="s">
        <v>679</v>
      </c>
      <c r="F46" t="s">
        <v>680</v>
      </c>
      <c r="G46" t="s">
        <v>681</v>
      </c>
      <c r="H46" t="s">
        <v>682</v>
      </c>
      <c r="I46" t="s">
        <v>683</v>
      </c>
      <c r="J46" t="s">
        <v>670</v>
      </c>
      <c r="K46" t="s">
        <v>671</v>
      </c>
      <c r="L46" t="s">
        <v>672</v>
      </c>
      <c r="M46" t="s">
        <v>673</v>
      </c>
      <c r="N46" t="s">
        <v>579</v>
      </c>
      <c r="O46" t="s">
        <v>519</v>
      </c>
      <c r="P46" t="s">
        <v>577</v>
      </c>
      <c r="Q46" t="s">
        <v>558</v>
      </c>
      <c r="R46" t="s">
        <v>666</v>
      </c>
    </row>
    <row r="47" spans="1:18" x14ac:dyDescent="0.25">
      <c r="A47" t="s">
        <v>674</v>
      </c>
      <c r="B47">
        <v>1.1445716395864107</v>
      </c>
      <c r="C47">
        <v>1.15042755630495</v>
      </c>
      <c r="D47">
        <v>1.1443335498730289</v>
      </c>
      <c r="E47">
        <v>1.1502896871378911</v>
      </c>
      <c r="F47">
        <v>1.1788737996477072</v>
      </c>
      <c r="G47">
        <v>1.1652675173494516</v>
      </c>
      <c r="H47">
        <v>1.1790803829881986</v>
      </c>
      <c r="I47">
        <v>1.184625528875213</v>
      </c>
      <c r="J47">
        <v>1.1897125402280042</v>
      </c>
      <c r="K47">
        <v>1.1986459620654453</v>
      </c>
      <c r="L47">
        <v>1.213774834437086</v>
      </c>
      <c r="M47">
        <v>1.2486408299665819</v>
      </c>
      <c r="N47">
        <v>1.2576593439070043</v>
      </c>
      <c r="O47">
        <v>1.2520886656686145</v>
      </c>
      <c r="P47">
        <v>1.2509381085830997</v>
      </c>
      <c r="Q47">
        <v>1.2670721592479957</v>
      </c>
      <c r="R47">
        <v>1.2645296995747406</v>
      </c>
    </row>
    <row r="51" spans="1:6" x14ac:dyDescent="0.25">
      <c r="A51" t="s">
        <v>684</v>
      </c>
      <c r="B51" t="s">
        <v>579</v>
      </c>
      <c r="C51" t="s">
        <v>519</v>
      </c>
      <c r="D51" t="s">
        <v>577</v>
      </c>
      <c r="E51" t="s">
        <v>558</v>
      </c>
      <c r="F51" t="s">
        <v>666</v>
      </c>
    </row>
    <row r="52" spans="1:6" x14ac:dyDescent="0.25">
      <c r="A52" t="s">
        <v>669</v>
      </c>
      <c r="B52" s="161">
        <f>N47</f>
        <v>1.2576593439070043</v>
      </c>
      <c r="C52" s="161">
        <f>O47</f>
        <v>1.2520886656686145</v>
      </c>
      <c r="D52" s="161">
        <f>P47</f>
        <v>1.2509381085830997</v>
      </c>
      <c r="E52" s="161">
        <f>Q47</f>
        <v>1.2670721592479957</v>
      </c>
      <c r="F52" s="161">
        <f>R47</f>
        <v>1.2645296995747406</v>
      </c>
    </row>
    <row r="53" spans="1:6" x14ac:dyDescent="0.25">
      <c r="A53" t="s">
        <v>255</v>
      </c>
      <c r="B53" s="161"/>
      <c r="C53" s="161"/>
      <c r="D53" s="161">
        <f>Interims!H10</f>
        <v>1.23</v>
      </c>
      <c r="E53" s="161">
        <f>Interims!I10</f>
        <v>1.22</v>
      </c>
      <c r="F53" s="161">
        <f>Interims!L10</f>
        <v>1.1977957556571697</v>
      </c>
    </row>
    <row r="54" spans="1:6" x14ac:dyDescent="0.25">
      <c r="A54" t="s">
        <v>685</v>
      </c>
      <c r="B54" s="161"/>
      <c r="C54" s="161"/>
      <c r="D54" s="161">
        <f>D53</f>
        <v>1.23</v>
      </c>
      <c r="E54" s="161">
        <f>E53</f>
        <v>1.22</v>
      </c>
      <c r="F54" s="161">
        <v>1.226</v>
      </c>
    </row>
    <row r="70" spans="1:6" x14ac:dyDescent="0.25">
      <c r="A70" t="s">
        <v>245</v>
      </c>
    </row>
    <row r="71" spans="1:6" x14ac:dyDescent="0.25">
      <c r="A71" t="s">
        <v>580</v>
      </c>
      <c r="B71" t="s">
        <v>579</v>
      </c>
      <c r="C71" t="s">
        <v>519</v>
      </c>
      <c r="D71" t="s">
        <v>577</v>
      </c>
      <c r="E71" t="s">
        <v>558</v>
      </c>
      <c r="F71" t="s">
        <v>666</v>
      </c>
    </row>
    <row r="72" spans="1:6" x14ac:dyDescent="0.25">
      <c r="A72" t="s">
        <v>669</v>
      </c>
      <c r="B72" s="23">
        <v>4.7264373909394308E-2</v>
      </c>
      <c r="C72" s="23">
        <v>4.4033116233028524E-2</v>
      </c>
      <c r="D72" s="23">
        <v>3.6021834108184603E-2</v>
      </c>
      <c r="E72" s="23">
        <v>5.5762429729042884E-2</v>
      </c>
      <c r="F72" s="23">
        <v>2.2923720987502616E-2</v>
      </c>
    </row>
    <row r="73" spans="1:6" x14ac:dyDescent="0.25">
      <c r="A73" t="s">
        <v>255</v>
      </c>
      <c r="E73" s="23">
        <f>Interims!AJ93/Interims!H93-1</f>
        <v>-4.4679399373671047E-2</v>
      </c>
      <c r="F73" s="23">
        <f>Interims!L93/Interims!I93-1</f>
        <v>3.1974669061090033E-3</v>
      </c>
    </row>
    <row r="96" spans="1:11" x14ac:dyDescent="0.25">
      <c r="A96" t="s">
        <v>38</v>
      </c>
      <c r="B96" t="s">
        <v>683</v>
      </c>
      <c r="C96" t="s">
        <v>670</v>
      </c>
      <c r="D96" t="s">
        <v>671</v>
      </c>
      <c r="E96" t="s">
        <v>672</v>
      </c>
      <c r="F96" t="s">
        <v>673</v>
      </c>
      <c r="G96" t="s">
        <v>579</v>
      </c>
      <c r="H96" t="s">
        <v>519</v>
      </c>
      <c r="I96" t="s">
        <v>577</v>
      </c>
      <c r="J96" t="s">
        <v>558</v>
      </c>
      <c r="K96" t="s">
        <v>666</v>
      </c>
    </row>
    <row r="97" spans="1:11" x14ac:dyDescent="0.25">
      <c r="A97" t="s">
        <v>669</v>
      </c>
      <c r="B97" s="162">
        <v>8.3637790860667138E-2</v>
      </c>
      <c r="C97" s="162">
        <v>5.8050499430357894E-2</v>
      </c>
      <c r="D97" s="162">
        <v>6.1686266274674439E-2</v>
      </c>
      <c r="E97" s="162">
        <v>5.5964578077537075E-2</v>
      </c>
      <c r="F97" s="162">
        <v>0.11224483460170087</v>
      </c>
      <c r="G97" s="162">
        <v>0.21475434466870325</v>
      </c>
      <c r="H97" s="162">
        <v>0.23122187608168931</v>
      </c>
      <c r="I97" s="162">
        <v>0.23427596294490494</v>
      </c>
      <c r="J97" s="162">
        <v>0.21790100483810937</v>
      </c>
      <c r="K97" s="162">
        <v>0.11189445475159765</v>
      </c>
    </row>
    <row r="98" spans="1:11" x14ac:dyDescent="0.25">
      <c r="A98" t="s">
        <v>255</v>
      </c>
    </row>
    <row r="115" spans="1:15" ht="15.75" x14ac:dyDescent="0.3">
      <c r="A115" s="163"/>
      <c r="B115" s="164" t="s">
        <v>679</v>
      </c>
      <c r="C115" s="164" t="s">
        <v>680</v>
      </c>
      <c r="D115" s="164" t="s">
        <v>681</v>
      </c>
      <c r="E115" s="164" t="s">
        <v>682</v>
      </c>
      <c r="F115" s="164" t="s">
        <v>683</v>
      </c>
      <c r="G115" s="164" t="s">
        <v>670</v>
      </c>
      <c r="H115" s="164" t="s">
        <v>671</v>
      </c>
      <c r="I115" s="164" t="s">
        <v>672</v>
      </c>
      <c r="J115" s="164" t="s">
        <v>673</v>
      </c>
      <c r="K115" s="164" t="s">
        <v>579</v>
      </c>
      <c r="L115" s="164" t="s">
        <v>519</v>
      </c>
      <c r="M115" s="164" t="s">
        <v>577</v>
      </c>
      <c r="N115" s="164" t="s">
        <v>558</v>
      </c>
      <c r="O115" s="164" t="s">
        <v>666</v>
      </c>
    </row>
    <row r="116" spans="1:15" ht="15.75" x14ac:dyDescent="0.3">
      <c r="A116" s="165" t="s">
        <v>686</v>
      </c>
      <c r="B116" s="166">
        <v>32165.7</v>
      </c>
      <c r="C116" s="166">
        <v>32640.69</v>
      </c>
      <c r="D116" s="166">
        <v>31594.62</v>
      </c>
      <c r="E116" s="166">
        <v>26803.26</v>
      </c>
      <c r="F116" s="166">
        <v>25334</v>
      </c>
      <c r="G116" s="166">
        <v>20613</v>
      </c>
      <c r="H116" s="166">
        <v>20270</v>
      </c>
      <c r="I116" s="166">
        <v>21068.629000000001</v>
      </c>
      <c r="J116" s="166">
        <v>32634.400000000001</v>
      </c>
      <c r="K116" s="166">
        <v>35958.28</v>
      </c>
      <c r="L116" s="166">
        <v>35412</v>
      </c>
      <c r="M116" s="166">
        <v>35412</v>
      </c>
      <c r="N116" s="166">
        <v>36890.222000000002</v>
      </c>
      <c r="O116" s="166">
        <v>37066.708999999995</v>
      </c>
    </row>
    <row r="117" spans="1:15" ht="15.75" x14ac:dyDescent="0.3">
      <c r="A117" s="167" t="s">
        <v>687</v>
      </c>
      <c r="B117" s="168">
        <v>5.1753282275711161</v>
      </c>
      <c r="C117" s="168">
        <v>4.5795747427200464</v>
      </c>
      <c r="D117" s="168">
        <v>4.3111105046632048</v>
      </c>
      <c r="E117" s="168">
        <v>3.5653300522097702</v>
      </c>
      <c r="F117" s="168">
        <v>3.3043264581674152</v>
      </c>
      <c r="G117" s="168">
        <v>3.5105867702329219</v>
      </c>
      <c r="H117" s="168">
        <v>3.4057679292594951</v>
      </c>
      <c r="I117" s="168">
        <v>3.4709438220757827</v>
      </c>
      <c r="J117" s="168">
        <v>3.9703148571706652</v>
      </c>
      <c r="K117" s="168">
        <v>4.157795661625272</v>
      </c>
      <c r="L117" s="168">
        <v>3.8845985081175956</v>
      </c>
      <c r="M117" s="168">
        <v>3.6900953472620226</v>
      </c>
      <c r="N117" s="168">
        <v>3.6652348259793941</v>
      </c>
      <c r="O117" s="168">
        <v>3.5860713214593227</v>
      </c>
    </row>
    <row r="121" spans="1:15" x14ac:dyDescent="0.25">
      <c r="A121" t="s">
        <v>688</v>
      </c>
      <c r="B121" t="str">
        <f>K115</f>
        <v>Q1 22</v>
      </c>
      <c r="C121" t="str">
        <f>L115</f>
        <v>Q2 22</v>
      </c>
      <c r="D121" t="str">
        <f>M115</f>
        <v>Q3 22</v>
      </c>
      <c r="E121" t="str">
        <f>N115</f>
        <v>Q4 22</v>
      </c>
      <c r="F121" t="str">
        <f>O115</f>
        <v>Q1 23</v>
      </c>
    </row>
    <row r="122" spans="1:15" x14ac:dyDescent="0.25">
      <c r="A122" t="s">
        <v>669</v>
      </c>
      <c r="B122" s="169">
        <v>6.7881814298111705</v>
      </c>
      <c r="C122" s="169">
        <v>6.3788107909476812</v>
      </c>
      <c r="D122" s="169">
        <v>6.1012053722722506</v>
      </c>
      <c r="E122" s="169">
        <v>6.0772573069559881</v>
      </c>
      <c r="F122" s="169">
        <v>5.8748762156542016</v>
      </c>
      <c r="G122" s="169"/>
      <c r="H122" s="169"/>
      <c r="I122" s="169"/>
      <c r="J122" s="169"/>
    </row>
    <row r="123" spans="1:15" x14ac:dyDescent="0.25">
      <c r="A123" t="s">
        <v>255</v>
      </c>
      <c r="F123" s="169">
        <v>7.81</v>
      </c>
    </row>
    <row r="138" spans="1:6" x14ac:dyDescent="0.25">
      <c r="A138" s="170" t="s">
        <v>692</v>
      </c>
    </row>
    <row r="140" spans="1:6" x14ac:dyDescent="0.25">
      <c r="A140" s="178" t="s">
        <v>255</v>
      </c>
      <c r="B140" s="179"/>
      <c r="C140" s="179"/>
      <c r="D140" s="179"/>
      <c r="E140" s="179"/>
      <c r="F140" s="179"/>
    </row>
    <row r="141" spans="1:6" x14ac:dyDescent="0.25">
      <c r="A141" s="170"/>
    </row>
    <row r="142" spans="1:6" x14ac:dyDescent="0.25">
      <c r="A142" s="170" t="s">
        <v>249</v>
      </c>
      <c r="B142" s="176">
        <f ca="1">B143*B158+B144*B173</f>
        <v>12.209680515727761</v>
      </c>
      <c r="C142" s="176">
        <f ca="1">C143*C158+C144*C173</f>
        <v>11.408896953338319</v>
      </c>
      <c r="D142" s="176">
        <f ca="1">D143*D158+D144*D173</f>
        <v>10.906091584031667</v>
      </c>
      <c r="E142" s="176">
        <f ca="1">E143*E158+E144*E173</f>
        <v>10.711030128717429</v>
      </c>
      <c r="F142" s="176">
        <f ca="1">F143*F158+F144*F173</f>
        <v>10.653301563521987</v>
      </c>
    </row>
    <row r="143" spans="1:6" x14ac:dyDescent="0.25">
      <c r="A143" s="170"/>
      <c r="B143" s="161">
        <f>1-B144</f>
        <v>0.91666666666666663</v>
      </c>
      <c r="C143" s="161">
        <f>1-C144</f>
        <v>0.83333333333333337</v>
      </c>
      <c r="D143" s="161">
        <f>1-D144</f>
        <v>0.75</v>
      </c>
      <c r="E143" s="161">
        <f>1-E144</f>
        <v>0.66666666666666674</v>
      </c>
      <c r="F143" s="161">
        <f>1-F144</f>
        <v>0.58333333333333337</v>
      </c>
    </row>
    <row r="144" spans="1:6" x14ac:dyDescent="0.25">
      <c r="A144" s="170"/>
      <c r="B144" s="161">
        <f>1/12</f>
        <v>8.3333333333333329E-2</v>
      </c>
      <c r="C144" s="161">
        <f>B144+1/12</f>
        <v>0.16666666666666666</v>
      </c>
      <c r="D144" s="161">
        <f>C144+1/12</f>
        <v>0.25</v>
      </c>
      <c r="E144" s="161">
        <f>D144+1/12</f>
        <v>0.33333333333333331</v>
      </c>
      <c r="F144" s="161">
        <f>E144+1/12</f>
        <v>0.41666666666666663</v>
      </c>
    </row>
    <row r="145" spans="1:10" x14ac:dyDescent="0.25">
      <c r="A145" s="170"/>
    </row>
    <row r="146" spans="1:10" x14ac:dyDescent="0.25">
      <c r="A146" s="170"/>
    </row>
    <row r="147" spans="1:10" x14ac:dyDescent="0.25">
      <c r="A147" s="172">
        <v>2023</v>
      </c>
      <c r="B147" s="171">
        <v>44927</v>
      </c>
      <c r="C147" s="171">
        <v>44958</v>
      </c>
      <c r="D147" s="171">
        <v>44986</v>
      </c>
      <c r="E147" s="171">
        <v>45017</v>
      </c>
      <c r="F147" s="171">
        <v>45047</v>
      </c>
      <c r="G147" s="4"/>
      <c r="H147" s="4"/>
      <c r="I147" s="4"/>
      <c r="J147" s="4"/>
    </row>
    <row r="148" spans="1:10" x14ac:dyDescent="0.25">
      <c r="A148" t="s">
        <v>689</v>
      </c>
      <c r="B148" s="177">
        <v>9.7100000000000009</v>
      </c>
      <c r="C148" s="177">
        <v>8.31</v>
      </c>
      <c r="D148" s="177">
        <v>7.35</v>
      </c>
      <c r="E148" s="177">
        <v>7.21</v>
      </c>
      <c r="F148" s="177">
        <v>7.43</v>
      </c>
    </row>
    <row r="149" spans="1:10" x14ac:dyDescent="0.25">
      <c r="A149" t="s">
        <v>448</v>
      </c>
      <c r="B149" s="174">
        <f>Master!I405</f>
        <v>3189.4</v>
      </c>
      <c r="C149" s="27">
        <f>B149</f>
        <v>3189.4</v>
      </c>
      <c r="D149" s="27">
        <f>C149</f>
        <v>3189.4</v>
      </c>
      <c r="E149" s="27">
        <f>D149</f>
        <v>3189.4</v>
      </c>
      <c r="F149" s="27">
        <f>E149</f>
        <v>3189.4</v>
      </c>
    </row>
    <row r="150" spans="1:10" x14ac:dyDescent="0.25">
      <c r="A150" s="173" t="s">
        <v>690</v>
      </c>
      <c r="B150" s="173">
        <f>B148*B149</f>
        <v>30969.074000000004</v>
      </c>
      <c r="C150" s="173">
        <f>C148*C149</f>
        <v>26503.914000000001</v>
      </c>
      <c r="D150" s="173">
        <f>D148*D149</f>
        <v>23442.09</v>
      </c>
      <c r="E150" s="173">
        <f>E148*E149</f>
        <v>22995.574000000001</v>
      </c>
      <c r="F150" s="173">
        <f>F148*F149</f>
        <v>23697.241999999998</v>
      </c>
    </row>
    <row r="152" spans="1:10" x14ac:dyDescent="0.25">
      <c r="A152" t="s">
        <v>691</v>
      </c>
      <c r="B152" s="174">
        <f>Master!I407</f>
        <v>52806.02637671087</v>
      </c>
      <c r="C152" s="27">
        <f t="shared" ref="C152:F154" si="0">B152</f>
        <v>52806.02637671087</v>
      </c>
      <c r="D152" s="27">
        <f t="shared" si="0"/>
        <v>52806.02637671087</v>
      </c>
      <c r="E152" s="27">
        <f t="shared" si="0"/>
        <v>52806.02637671087</v>
      </c>
      <c r="F152" s="27">
        <f t="shared" si="0"/>
        <v>52806.02637671087</v>
      </c>
    </row>
    <row r="153" spans="1:10" x14ac:dyDescent="0.25">
      <c r="A153" t="s">
        <v>48</v>
      </c>
      <c r="B153" s="174">
        <f ca="1">Master!I408</f>
        <v>1353.3272402552245</v>
      </c>
      <c r="C153" s="27">
        <f t="shared" ca="1" si="0"/>
        <v>1353.3272402552245</v>
      </c>
      <c r="D153" s="27">
        <f t="shared" ca="1" si="0"/>
        <v>1353.3272402552245</v>
      </c>
      <c r="E153" s="27">
        <f t="shared" ca="1" si="0"/>
        <v>1353.3272402552245</v>
      </c>
      <c r="F153" s="27">
        <f t="shared" ca="1" si="0"/>
        <v>1353.3272402552245</v>
      </c>
    </row>
    <row r="154" spans="1:10" x14ac:dyDescent="0.25">
      <c r="A154" t="s">
        <v>523</v>
      </c>
      <c r="B154" s="174"/>
      <c r="C154" s="27">
        <f t="shared" si="0"/>
        <v>0</v>
      </c>
      <c r="D154" s="27">
        <f t="shared" si="0"/>
        <v>0</v>
      </c>
      <c r="E154" s="27">
        <f t="shared" si="0"/>
        <v>0</v>
      </c>
      <c r="F154" s="27">
        <f t="shared" si="0"/>
        <v>0</v>
      </c>
      <c r="H154" s="27">
        <f>Master!I412</f>
        <v>12408.009992929532</v>
      </c>
    </row>
    <row r="155" spans="1:10" x14ac:dyDescent="0.25">
      <c r="A155" s="173" t="s">
        <v>437</v>
      </c>
      <c r="B155" s="175">
        <f ca="1">B150+B152+B153+B154</f>
        <v>85128.427616966103</v>
      </c>
      <c r="C155" s="175">
        <f ca="1">C150+C152+C153+C154</f>
        <v>80663.267616966099</v>
      </c>
      <c r="D155" s="175">
        <f ca="1">D150+D152+D153+D154</f>
        <v>77601.443616966091</v>
      </c>
      <c r="E155" s="175">
        <f ca="1">E150+E152+E153+E154</f>
        <v>77154.927616966103</v>
      </c>
      <c r="F155" s="175">
        <f ca="1">F150+F152+F153+F154</f>
        <v>77856.595616966093</v>
      </c>
    </row>
    <row r="157" spans="1:10" x14ac:dyDescent="0.25">
      <c r="A157" t="s">
        <v>245</v>
      </c>
      <c r="B157" s="174">
        <f>Master!I303</f>
        <v>6864.1416232891297</v>
      </c>
      <c r="C157" s="27">
        <f>B157</f>
        <v>6864.1416232891297</v>
      </c>
      <c r="D157" s="27">
        <f>C157</f>
        <v>6864.1416232891297</v>
      </c>
      <c r="E157" s="27">
        <f>D157</f>
        <v>6864.1416232891297</v>
      </c>
      <c r="F157" s="27">
        <f>E157</f>
        <v>6864.1416232891297</v>
      </c>
    </row>
    <row r="158" spans="1:10" x14ac:dyDescent="0.25">
      <c r="A158" s="170" t="s">
        <v>695</v>
      </c>
      <c r="B158" s="181">
        <f ca="1">B155/B157</f>
        <v>12.401904315047426</v>
      </c>
      <c r="C158" s="181">
        <f ca="1">C155/C157</f>
        <v>11.751399088749311</v>
      </c>
      <c r="D158" s="181">
        <f ca="1">D155/D157</f>
        <v>11.305338362144889</v>
      </c>
      <c r="E158" s="181">
        <f ca="1">E155/E157</f>
        <v>11.24028783951508</v>
      </c>
      <c r="F158" s="181">
        <f ca="1">F155/F157</f>
        <v>11.342510089361925</v>
      </c>
    </row>
    <row r="162" spans="1:8" x14ac:dyDescent="0.25">
      <c r="A162" s="172">
        <v>2024</v>
      </c>
      <c r="B162" s="171">
        <v>44927</v>
      </c>
      <c r="C162" s="171">
        <v>44958</v>
      </c>
      <c r="D162" s="171">
        <v>44986</v>
      </c>
      <c r="E162" s="171">
        <v>45017</v>
      </c>
      <c r="F162" s="171">
        <v>45047</v>
      </c>
    </row>
    <row r="163" spans="1:8" x14ac:dyDescent="0.25">
      <c r="A163" t="s">
        <v>689</v>
      </c>
      <c r="B163" s="177">
        <v>8.4</v>
      </c>
      <c r="C163" s="177">
        <v>7.4</v>
      </c>
      <c r="D163" s="177">
        <v>7.43</v>
      </c>
      <c r="E163" s="177">
        <v>7.29</v>
      </c>
      <c r="F163" s="177">
        <v>7.38</v>
      </c>
    </row>
    <row r="164" spans="1:8" x14ac:dyDescent="0.25">
      <c r="A164" t="s">
        <v>448</v>
      </c>
      <c r="B164" s="174">
        <f>Master!J405</f>
        <v>3189.4</v>
      </c>
      <c r="C164" s="27">
        <f>B164</f>
        <v>3189.4</v>
      </c>
      <c r="D164" s="27">
        <f>C164</f>
        <v>3189.4</v>
      </c>
      <c r="E164" s="27">
        <f>D164</f>
        <v>3189.4</v>
      </c>
      <c r="F164" s="27">
        <f>E164</f>
        <v>3189.4</v>
      </c>
    </row>
    <row r="165" spans="1:8" x14ac:dyDescent="0.25">
      <c r="A165" s="173" t="s">
        <v>690</v>
      </c>
      <c r="B165" s="173">
        <f>B163*B164</f>
        <v>26790.960000000003</v>
      </c>
      <c r="C165" s="173">
        <f>C163*C164</f>
        <v>23601.56</v>
      </c>
      <c r="D165" s="173">
        <f>D163*D164</f>
        <v>23697.241999999998</v>
      </c>
      <c r="E165" s="173">
        <f>E163*E164</f>
        <v>23250.726000000002</v>
      </c>
      <c r="F165" s="173">
        <f>F163*F164</f>
        <v>23537.772000000001</v>
      </c>
    </row>
    <row r="167" spans="1:8" x14ac:dyDescent="0.25">
      <c r="A167" t="s">
        <v>691</v>
      </c>
      <c r="B167" s="174">
        <f ca="1">Master!J407</f>
        <v>52585.580260845061</v>
      </c>
      <c r="C167" s="27">
        <f t="shared" ref="C167:F169" ca="1" si="1">B167</f>
        <v>52585.580260845061</v>
      </c>
      <c r="D167" s="27">
        <f t="shared" ca="1" si="1"/>
        <v>52585.580260845061</v>
      </c>
      <c r="E167" s="27">
        <f t="shared" ca="1" si="1"/>
        <v>52585.580260845061</v>
      </c>
      <c r="F167" s="27">
        <f t="shared" ca="1" si="1"/>
        <v>52585.580260845061</v>
      </c>
    </row>
    <row r="168" spans="1:8" x14ac:dyDescent="0.25">
      <c r="A168" t="s">
        <v>48</v>
      </c>
      <c r="B168" s="174">
        <f ca="1">Master!J408</f>
        <v>1353.3272402552245</v>
      </c>
      <c r="C168" s="27">
        <f t="shared" ca="1" si="1"/>
        <v>1353.3272402552245</v>
      </c>
      <c r="D168" s="27">
        <f t="shared" ca="1" si="1"/>
        <v>1353.3272402552245</v>
      </c>
      <c r="E168" s="27">
        <f t="shared" ca="1" si="1"/>
        <v>1353.3272402552245</v>
      </c>
      <c r="F168" s="27">
        <f t="shared" ca="1" si="1"/>
        <v>1353.3272402552245</v>
      </c>
    </row>
    <row r="169" spans="1:8" x14ac:dyDescent="0.25">
      <c r="A169" t="s">
        <v>523</v>
      </c>
      <c r="B169" s="174"/>
      <c r="C169" s="27">
        <f t="shared" si="1"/>
        <v>0</v>
      </c>
      <c r="D169" s="27">
        <f t="shared" si="1"/>
        <v>0</v>
      </c>
      <c r="E169" s="27">
        <f t="shared" si="1"/>
        <v>0</v>
      </c>
      <c r="F169" s="27">
        <f t="shared" si="1"/>
        <v>0</v>
      </c>
      <c r="H169" s="27">
        <f>Master!J412</f>
        <v>14173.116176290361</v>
      </c>
    </row>
    <row r="170" spans="1:8" x14ac:dyDescent="0.25">
      <c r="A170" s="173" t="s">
        <v>437</v>
      </c>
      <c r="B170" s="175">
        <f ca="1">B165+B167+B168+B169</f>
        <v>80729.867501100292</v>
      </c>
      <c r="C170" s="175">
        <f ca="1">C165+C167+C168+C169</f>
        <v>77540.467501100284</v>
      </c>
      <c r="D170" s="175">
        <f ca="1">D165+D167+D168+D169</f>
        <v>77636.149501100284</v>
      </c>
      <c r="E170" s="175">
        <f ca="1">E165+E167+E168+E169</f>
        <v>77189.633501100296</v>
      </c>
      <c r="F170" s="175">
        <f ca="1">F165+F167+F168+F169</f>
        <v>77476.679501100283</v>
      </c>
    </row>
    <row r="172" spans="1:8" x14ac:dyDescent="0.25">
      <c r="A172" t="s">
        <v>38</v>
      </c>
      <c r="B172" s="174">
        <f>Master!J303</f>
        <v>7996.8418431040927</v>
      </c>
      <c r="C172" s="27">
        <f>B172</f>
        <v>7996.8418431040927</v>
      </c>
      <c r="D172" s="27">
        <f>C172</f>
        <v>7996.8418431040927</v>
      </c>
      <c r="E172" s="27">
        <f>D172</f>
        <v>7996.8418431040927</v>
      </c>
      <c r="F172" s="27">
        <f>E172</f>
        <v>7996.8418431040927</v>
      </c>
    </row>
    <row r="173" spans="1:8" x14ac:dyDescent="0.25">
      <c r="A173" s="170" t="s">
        <v>694</v>
      </c>
      <c r="B173" s="176">
        <f ca="1">B170/B172</f>
        <v>10.095218723215838</v>
      </c>
      <c r="C173" s="176">
        <f ca="1">C170/C172</f>
        <v>9.696386276285514</v>
      </c>
      <c r="D173" s="176">
        <f ca="1">D170/D172</f>
        <v>9.7083512496934237</v>
      </c>
      <c r="E173" s="176">
        <f ca="1">E170/E172</f>
        <v>9.6525147071231796</v>
      </c>
      <c r="F173" s="176">
        <f ca="1">F170/F172</f>
        <v>9.6884096273469087</v>
      </c>
    </row>
    <row r="177" spans="1:8" x14ac:dyDescent="0.25">
      <c r="A177" s="178" t="s">
        <v>669</v>
      </c>
      <c r="B177" s="179"/>
      <c r="C177" s="179"/>
      <c r="D177" s="179"/>
      <c r="E177" s="179"/>
      <c r="F177" s="179"/>
    </row>
    <row r="178" spans="1:8" x14ac:dyDescent="0.25">
      <c r="A178" s="170"/>
    </row>
    <row r="179" spans="1:8" x14ac:dyDescent="0.25">
      <c r="A179" s="170" t="s">
        <v>249</v>
      </c>
      <c r="B179" s="176">
        <f>B180*B195+B181*B210</f>
        <v>12.741451260218764</v>
      </c>
      <c r="C179" s="176">
        <f>C180*C195+C181*C210</f>
        <v>12.91668144292321</v>
      </c>
      <c r="D179" s="176">
        <f>D180*D195+D181*D210</f>
        <v>12.212008585789452</v>
      </c>
      <c r="E179" s="176">
        <f>E180*E195+E181*E210</f>
        <v>11.622761215869053</v>
      </c>
      <c r="F179" s="176">
        <f>F180*F195+F181*F210</f>
        <v>11.049193426284905</v>
      </c>
    </row>
    <row r="180" spans="1:8" x14ac:dyDescent="0.25">
      <c r="A180" s="170"/>
      <c r="B180" s="161">
        <f>1-B181</f>
        <v>0.91666666666666663</v>
      </c>
      <c r="C180" s="161">
        <f>1-C181</f>
        <v>0.83333333333333337</v>
      </c>
      <c r="D180" s="161">
        <f>1-D181</f>
        <v>0.75</v>
      </c>
      <c r="E180" s="161">
        <f>1-E181</f>
        <v>0.66666666666666674</v>
      </c>
      <c r="F180" s="161">
        <f>1-F181</f>
        <v>0.58333333333333337</v>
      </c>
    </row>
    <row r="181" spans="1:8" x14ac:dyDescent="0.25">
      <c r="A181" s="170"/>
      <c r="B181" s="161">
        <f>1/12</f>
        <v>8.3333333333333329E-2</v>
      </c>
      <c r="C181" s="161">
        <f>B181+1/12</f>
        <v>0.16666666666666666</v>
      </c>
      <c r="D181" s="161">
        <f>C181+1/12</f>
        <v>0.25</v>
      </c>
      <c r="E181" s="161">
        <f>D181+1/12</f>
        <v>0.33333333333333331</v>
      </c>
      <c r="F181" s="161">
        <f>E181+1/12</f>
        <v>0.41666666666666663</v>
      </c>
    </row>
    <row r="182" spans="1:8" x14ac:dyDescent="0.25">
      <c r="A182" s="170"/>
    </row>
    <row r="183" spans="1:8" x14ac:dyDescent="0.25">
      <c r="A183" s="170"/>
    </row>
    <row r="184" spans="1:8" x14ac:dyDescent="0.25">
      <c r="A184" s="172">
        <v>2023</v>
      </c>
      <c r="B184" s="171">
        <v>44927</v>
      </c>
      <c r="C184" s="171">
        <v>44958</v>
      </c>
      <c r="D184" s="171">
        <v>44986</v>
      </c>
      <c r="E184" s="171">
        <v>45017</v>
      </c>
      <c r="F184" s="171">
        <v>45047</v>
      </c>
    </row>
    <row r="185" spans="1:8" x14ac:dyDescent="0.25">
      <c r="A185" t="s">
        <v>689</v>
      </c>
      <c r="B185" s="177">
        <v>19.350000000000001</v>
      </c>
      <c r="C185" s="177">
        <v>20</v>
      </c>
      <c r="D185" s="177">
        <v>18.79</v>
      </c>
      <c r="E185" s="177">
        <v>17.809999999999999</v>
      </c>
      <c r="F185" s="177">
        <v>16.850000000000001</v>
      </c>
    </row>
    <row r="186" spans="1:8" x14ac:dyDescent="0.25">
      <c r="A186" t="s">
        <v>448</v>
      </c>
      <c r="B186" s="180">
        <v>3194</v>
      </c>
      <c r="C186" s="27">
        <f>B186</f>
        <v>3194</v>
      </c>
      <c r="D186" s="27">
        <f>C186</f>
        <v>3194</v>
      </c>
      <c r="E186" s="27">
        <f>D186</f>
        <v>3194</v>
      </c>
      <c r="F186" s="27">
        <f>E186</f>
        <v>3194</v>
      </c>
    </row>
    <row r="187" spans="1:8" x14ac:dyDescent="0.25">
      <c r="A187" s="173" t="s">
        <v>690</v>
      </c>
      <c r="B187" s="173">
        <f>B185*B186</f>
        <v>61803.9</v>
      </c>
      <c r="C187" s="173">
        <f>C185*C186</f>
        <v>63880</v>
      </c>
      <c r="D187" s="173">
        <f>D185*D186</f>
        <v>60015.259999999995</v>
      </c>
      <c r="E187" s="173">
        <f>E185*E186</f>
        <v>56885.14</v>
      </c>
      <c r="F187" s="173">
        <f>F185*F186</f>
        <v>53818.9</v>
      </c>
    </row>
    <row r="189" spans="1:8" x14ac:dyDescent="0.25">
      <c r="A189" t="s">
        <v>691</v>
      </c>
      <c r="B189" s="180">
        <v>4704</v>
      </c>
      <c r="C189" s="27">
        <f t="shared" ref="C189:F191" si="2">B189</f>
        <v>4704</v>
      </c>
      <c r="D189" s="27">
        <f t="shared" si="2"/>
        <v>4704</v>
      </c>
      <c r="E189" s="27">
        <f t="shared" si="2"/>
        <v>4704</v>
      </c>
      <c r="F189" s="27">
        <f t="shared" si="2"/>
        <v>4704</v>
      </c>
    </row>
    <row r="190" spans="1:8" x14ac:dyDescent="0.25">
      <c r="A190" t="s">
        <v>48</v>
      </c>
      <c r="B190" s="180">
        <v>19058</v>
      </c>
      <c r="C190" s="27">
        <f t="shared" si="2"/>
        <v>19058</v>
      </c>
      <c r="D190" s="27">
        <f t="shared" si="2"/>
        <v>19058</v>
      </c>
      <c r="E190" s="27">
        <f t="shared" si="2"/>
        <v>19058</v>
      </c>
      <c r="F190" s="27">
        <f t="shared" si="2"/>
        <v>19058</v>
      </c>
    </row>
    <row r="191" spans="1:8" x14ac:dyDescent="0.25">
      <c r="A191" t="s">
        <v>523</v>
      </c>
      <c r="B191" s="180"/>
      <c r="C191" s="27">
        <f t="shared" si="2"/>
        <v>0</v>
      </c>
      <c r="D191" s="27">
        <f t="shared" si="2"/>
        <v>0</v>
      </c>
      <c r="E191" s="27">
        <f t="shared" si="2"/>
        <v>0</v>
      </c>
      <c r="F191" s="27">
        <f t="shared" si="2"/>
        <v>0</v>
      </c>
      <c r="H191" s="180">
        <v>23952</v>
      </c>
    </row>
    <row r="192" spans="1:8" x14ac:dyDescent="0.25">
      <c r="A192" s="173" t="s">
        <v>437</v>
      </c>
      <c r="B192" s="175">
        <f>B187+B189+B190+B191</f>
        <v>85565.9</v>
      </c>
      <c r="C192" s="175">
        <f>C187+C189+C190+C191</f>
        <v>87642</v>
      </c>
      <c r="D192" s="175">
        <f>D187+D189+D190+D191</f>
        <v>83777.259999999995</v>
      </c>
      <c r="E192" s="175">
        <f>E187+E189+E190+E191</f>
        <v>80647.14</v>
      </c>
      <c r="F192" s="175">
        <f>F187+F189+F190+F191</f>
        <v>77580.899999999994</v>
      </c>
    </row>
    <row r="194" spans="1:8" x14ac:dyDescent="0.25">
      <c r="A194" t="s">
        <v>38</v>
      </c>
      <c r="B194" s="180">
        <v>6646.2293779778511</v>
      </c>
      <c r="C194" s="27">
        <f>B194</f>
        <v>6646.2293779778511</v>
      </c>
      <c r="D194" s="27">
        <f>C194</f>
        <v>6646.2293779778511</v>
      </c>
      <c r="E194" s="27">
        <f>D194</f>
        <v>6646.2293779778511</v>
      </c>
      <c r="F194" s="27">
        <f>E194</f>
        <v>6646.2293779778511</v>
      </c>
    </row>
    <row r="195" spans="1:8" x14ac:dyDescent="0.25">
      <c r="A195" s="170" t="s">
        <v>693</v>
      </c>
      <c r="B195" s="176">
        <f>B192/B194</f>
        <v>12.874352528897198</v>
      </c>
      <c r="C195" s="176">
        <f>C192/C194</f>
        <v>13.186725136270503</v>
      </c>
      <c r="D195" s="176">
        <f>D192/D194</f>
        <v>12.605231513314042</v>
      </c>
      <c r="E195" s="176">
        <f>E192/E194</f>
        <v>12.134269736043521</v>
      </c>
      <c r="F195" s="176">
        <f>F192/F194</f>
        <v>11.672919423615255</v>
      </c>
    </row>
    <row r="199" spans="1:8" x14ac:dyDescent="0.25">
      <c r="A199" s="172">
        <v>2024</v>
      </c>
      <c r="B199" s="171">
        <v>44927</v>
      </c>
      <c r="C199" s="171">
        <v>44958</v>
      </c>
      <c r="D199" s="171">
        <v>44986</v>
      </c>
      <c r="E199" s="171">
        <v>45017</v>
      </c>
      <c r="F199" s="171">
        <v>45047</v>
      </c>
    </row>
    <row r="200" spans="1:8" x14ac:dyDescent="0.25">
      <c r="A200" t="s">
        <v>689</v>
      </c>
      <c r="B200" s="182">
        <f>B185</f>
        <v>19.350000000000001</v>
      </c>
      <c r="C200" s="182">
        <f t="shared" ref="C200:F200" si="3">C185</f>
        <v>20</v>
      </c>
      <c r="D200" s="182">
        <f t="shared" si="3"/>
        <v>18.79</v>
      </c>
      <c r="E200" s="182">
        <f t="shared" si="3"/>
        <v>17.809999999999999</v>
      </c>
      <c r="F200" s="182">
        <f t="shared" si="3"/>
        <v>16.850000000000001</v>
      </c>
    </row>
    <row r="201" spans="1:8" x14ac:dyDescent="0.25">
      <c r="A201" t="s">
        <v>448</v>
      </c>
      <c r="B201" s="180">
        <v>3144</v>
      </c>
      <c r="C201" s="27">
        <f>B201</f>
        <v>3144</v>
      </c>
      <c r="D201" s="27">
        <f>C201</f>
        <v>3144</v>
      </c>
      <c r="E201" s="27">
        <f>D201</f>
        <v>3144</v>
      </c>
      <c r="F201" s="27">
        <f>E201</f>
        <v>3144</v>
      </c>
    </row>
    <row r="202" spans="1:8" x14ac:dyDescent="0.25">
      <c r="A202" s="173" t="s">
        <v>690</v>
      </c>
      <c r="B202" s="173">
        <f>B200*B201</f>
        <v>60836.4</v>
      </c>
      <c r="C202" s="173">
        <f>C200*C201</f>
        <v>62880</v>
      </c>
      <c r="D202" s="173">
        <f>D200*D201</f>
        <v>59075.759999999995</v>
      </c>
      <c r="E202" s="173">
        <f>E200*E201</f>
        <v>55994.64</v>
      </c>
      <c r="F202" s="173">
        <f>F200*F201</f>
        <v>52976.4</v>
      </c>
    </row>
    <row r="204" spans="1:8" x14ac:dyDescent="0.25">
      <c r="A204" t="s">
        <v>691</v>
      </c>
      <c r="B204" s="180">
        <v>443</v>
      </c>
      <c r="C204" s="27">
        <f t="shared" ref="C204:F206" si="4">B204</f>
        <v>443</v>
      </c>
      <c r="D204" s="27">
        <f t="shared" si="4"/>
        <v>443</v>
      </c>
      <c r="E204" s="27">
        <f t="shared" si="4"/>
        <v>443</v>
      </c>
      <c r="F204" s="27">
        <f t="shared" si="4"/>
        <v>443</v>
      </c>
    </row>
    <row r="205" spans="1:8" x14ac:dyDescent="0.25">
      <c r="A205" t="s">
        <v>48</v>
      </c>
      <c r="B205" s="180">
        <v>19058</v>
      </c>
      <c r="C205" s="27">
        <f t="shared" si="4"/>
        <v>19058</v>
      </c>
      <c r="D205" s="27">
        <f t="shared" si="4"/>
        <v>19058</v>
      </c>
      <c r="E205" s="27">
        <f t="shared" si="4"/>
        <v>19058</v>
      </c>
      <c r="F205" s="27">
        <f t="shared" si="4"/>
        <v>19058</v>
      </c>
    </row>
    <row r="206" spans="1:8" x14ac:dyDescent="0.25">
      <c r="A206" t="s">
        <v>523</v>
      </c>
      <c r="B206" s="180"/>
      <c r="C206" s="27">
        <f t="shared" si="4"/>
        <v>0</v>
      </c>
      <c r="D206" s="27">
        <f t="shared" si="4"/>
        <v>0</v>
      </c>
      <c r="E206" s="27">
        <f t="shared" si="4"/>
        <v>0</v>
      </c>
      <c r="F206" s="27">
        <f t="shared" si="4"/>
        <v>0</v>
      </c>
      <c r="H206" s="180">
        <v>25149</v>
      </c>
    </row>
    <row r="207" spans="1:8" x14ac:dyDescent="0.25">
      <c r="A207" s="173" t="s">
        <v>437</v>
      </c>
      <c r="B207" s="175">
        <f>B202+B204+B205+B206</f>
        <v>80337.399999999994</v>
      </c>
      <c r="C207" s="175">
        <f>C202+C204+C205+C206</f>
        <v>82381</v>
      </c>
      <c r="D207" s="175">
        <f>D202+D204+D205+D206</f>
        <v>78576.759999999995</v>
      </c>
      <c r="E207" s="175">
        <f>E202+E204+E205+E206</f>
        <v>75495.64</v>
      </c>
      <c r="F207" s="175">
        <f>F202+F204+F205+F206</f>
        <v>72477.399999999994</v>
      </c>
    </row>
    <row r="209" spans="1:23" x14ac:dyDescent="0.25">
      <c r="A209" t="s">
        <v>38</v>
      </c>
      <c r="B209" s="180">
        <v>7122.4020834725052</v>
      </c>
      <c r="C209" s="27">
        <f>B209</f>
        <v>7122.4020834725052</v>
      </c>
      <c r="D209" s="27">
        <f>C209</f>
        <v>7122.4020834725052</v>
      </c>
      <c r="E209" s="27">
        <f>D209</f>
        <v>7122.4020834725052</v>
      </c>
      <c r="F209" s="27">
        <f>E209</f>
        <v>7122.4020834725052</v>
      </c>
    </row>
    <row r="210" spans="1:23" x14ac:dyDescent="0.25">
      <c r="A210" s="170" t="s">
        <v>694</v>
      </c>
      <c r="B210" s="176">
        <f>B207/B209</f>
        <v>11.279537304756001</v>
      </c>
      <c r="C210" s="176">
        <f>C207/C209</f>
        <v>11.566462976186736</v>
      </c>
      <c r="D210" s="176">
        <f>D207/D209</f>
        <v>11.032339803215677</v>
      </c>
      <c r="E210" s="176">
        <f>E207/E209</f>
        <v>10.599744175520112</v>
      </c>
      <c r="F210" s="176">
        <f>F207/F209</f>
        <v>10.175977030022414</v>
      </c>
      <c r="U210">
        <v>16.5</v>
      </c>
      <c r="V210">
        <v>14.6</v>
      </c>
      <c r="W210" s="23">
        <f>V210/U210-1</f>
        <v>-0.11515151515151523</v>
      </c>
    </row>
    <row r="211" spans="1:23" x14ac:dyDescent="0.25">
      <c r="U211">
        <v>13.4</v>
      </c>
      <c r="V211">
        <v>12.7</v>
      </c>
      <c r="W211" s="23">
        <f>V211/U211-1</f>
        <v>-5.2238805970149294E-2</v>
      </c>
    </row>
    <row r="214" spans="1:23" x14ac:dyDescent="0.25">
      <c r="U214">
        <v>10.6</v>
      </c>
      <c r="V214">
        <v>9</v>
      </c>
      <c r="W214" s="23">
        <f>V214/U214-1</f>
        <v>-0.15094339622641506</v>
      </c>
    </row>
    <row r="215" spans="1:23" x14ac:dyDescent="0.25">
      <c r="U215">
        <v>7.4</v>
      </c>
      <c r="V215">
        <v>6.9</v>
      </c>
      <c r="W215" s="23">
        <f>V215/U215-1</f>
        <v>-6.7567567567567544E-2</v>
      </c>
    </row>
    <row r="217" spans="1:23" x14ac:dyDescent="0.25">
      <c r="B217" s="171">
        <v>44927</v>
      </c>
      <c r="C217" s="171">
        <v>44958</v>
      </c>
      <c r="D217" s="171">
        <v>44986</v>
      </c>
      <c r="E217" s="171">
        <v>45017</v>
      </c>
      <c r="F217" s="171">
        <v>45047</v>
      </c>
    </row>
    <row r="218" spans="1:23" x14ac:dyDescent="0.25">
      <c r="A218" t="s">
        <v>669</v>
      </c>
      <c r="B218" s="61">
        <f>B179</f>
        <v>12.741451260218764</v>
      </c>
      <c r="C218" s="61">
        <f>C179</f>
        <v>12.91668144292321</v>
      </c>
      <c r="D218" s="61">
        <f>D179</f>
        <v>12.212008585789452</v>
      </c>
      <c r="E218" s="61">
        <f>E179</f>
        <v>11.622761215869053</v>
      </c>
      <c r="F218" s="61">
        <f>F179</f>
        <v>11.049193426284905</v>
      </c>
    </row>
    <row r="219" spans="1:23" x14ac:dyDescent="0.25">
      <c r="A219" t="s">
        <v>255</v>
      </c>
      <c r="B219" s="61">
        <f ca="1">B142</f>
        <v>12.209680515727761</v>
      </c>
      <c r="C219" s="61">
        <f ca="1">C142</f>
        <v>11.408896953338319</v>
      </c>
      <c r="D219" s="61">
        <f ca="1">D142</f>
        <v>10.906091584031667</v>
      </c>
      <c r="E219" s="61">
        <f ca="1">E142</f>
        <v>10.711030128717429</v>
      </c>
      <c r="F219" s="61">
        <f ca="1">F142</f>
        <v>10.653301563521987</v>
      </c>
    </row>
    <row r="246" spans="3:10" x14ac:dyDescent="0.25">
      <c r="C246">
        <v>9.6110765755419436E-2</v>
      </c>
      <c r="D246">
        <v>7.4236709442885296E-2</v>
      </c>
      <c r="E246">
        <v>7.0602094614705013E-2</v>
      </c>
      <c r="F246">
        <v>6.7698253932268138E-2</v>
      </c>
      <c r="G246">
        <v>6.4491154963583153E-2</v>
      </c>
      <c r="H246">
        <v>6.4916384901696933E-2</v>
      </c>
      <c r="I246">
        <v>6.2710504988915172E-2</v>
      </c>
      <c r="J246">
        <v>6.0124650327917362E-2</v>
      </c>
    </row>
    <row r="247" spans="3:10" x14ac:dyDescent="0.25">
      <c r="C247">
        <f>Master!I297/Master!H297-1</f>
        <v>8.6963590941102398E-2</v>
      </c>
      <c r="D247">
        <f>Master!J297/Master!I297-1</f>
        <v>0.16234978232320252</v>
      </c>
      <c r="E247">
        <f>Master!K297/Master!J297-1</f>
        <v>9.2003927926416651E-2</v>
      </c>
      <c r="F247">
        <f>Master!L297/Master!K297-1</f>
        <v>8.383395096349755E-2</v>
      </c>
      <c r="G247">
        <f>Master!M297/Master!L297-1</f>
        <v>8.3423379821335963E-2</v>
      </c>
      <c r="H247">
        <f>Master!N297/Master!M297-1</f>
        <v>7.9455085937718328E-2</v>
      </c>
      <c r="I247">
        <f>Master!O297/Master!N297-1</f>
        <v>7.8474837947269505E-2</v>
      </c>
      <c r="J247">
        <f>Master!P297/Master!O297-1</f>
        <v>7.7551337467386849E-2</v>
      </c>
    </row>
    <row r="257" spans="1:14" x14ac:dyDescent="0.25">
      <c r="A257" s="170" t="s">
        <v>699</v>
      </c>
    </row>
    <row r="258" spans="1:14" x14ac:dyDescent="0.25">
      <c r="B258" s="142"/>
      <c r="C258" s="142"/>
      <c r="D258" s="142"/>
      <c r="E258" s="142"/>
      <c r="F258" s="142"/>
      <c r="G258" s="142"/>
      <c r="H258" s="142"/>
      <c r="I258" s="142"/>
      <c r="J258" s="142"/>
      <c r="K258" s="142"/>
      <c r="L258" s="142"/>
      <c r="M258" s="142"/>
    </row>
    <row r="259" spans="1:14" x14ac:dyDescent="0.25">
      <c r="B259" s="142"/>
      <c r="C259" s="142"/>
      <c r="D259" s="142"/>
      <c r="E259" s="142"/>
      <c r="F259" s="142"/>
      <c r="G259" s="142"/>
      <c r="H259" s="142"/>
      <c r="I259" s="142"/>
      <c r="J259" s="142"/>
      <c r="K259" s="142"/>
      <c r="L259" s="142"/>
      <c r="M259" s="142"/>
    </row>
    <row r="260" spans="1:14" x14ac:dyDescent="0.25">
      <c r="A260" t="str">
        <f>A257</f>
        <v>Tower lease revenue per tower</v>
      </c>
      <c r="B260" s="142" t="s">
        <v>670</v>
      </c>
      <c r="C260" s="142" t="s">
        <v>671</v>
      </c>
      <c r="D260" s="142" t="s">
        <v>672</v>
      </c>
      <c r="E260" s="142" t="s">
        <v>673</v>
      </c>
      <c r="F260" s="142" t="s">
        <v>579</v>
      </c>
      <c r="G260" s="142" t="s">
        <v>519</v>
      </c>
      <c r="H260" s="142" t="s">
        <v>577</v>
      </c>
      <c r="I260" s="142" t="s">
        <v>558</v>
      </c>
      <c r="J260" s="142" t="s">
        <v>666</v>
      </c>
      <c r="K260" s="142"/>
      <c r="L260" s="142"/>
      <c r="M260" s="142"/>
    </row>
    <row r="261" spans="1:14" x14ac:dyDescent="0.25">
      <c r="A261" t="s">
        <v>669</v>
      </c>
      <c r="B261" s="183">
        <v>22838.628826433149</v>
      </c>
      <c r="C261" s="183">
        <v>22889.609163096779</v>
      </c>
      <c r="D261" s="183">
        <v>22606.041841744434</v>
      </c>
      <c r="E261" s="187">
        <v>22438.678458201233</v>
      </c>
      <c r="F261" s="183">
        <v>24213.419819249706</v>
      </c>
      <c r="G261" s="183">
        <v>24232.413525068016</v>
      </c>
      <c r="H261" s="183">
        <v>24174.399989795202</v>
      </c>
      <c r="I261" s="187">
        <v>24282.052234647246</v>
      </c>
      <c r="J261" s="183">
        <v>24458.466299197371</v>
      </c>
      <c r="K261" s="142"/>
      <c r="L261" s="142"/>
      <c r="M261" s="183"/>
      <c r="N261" s="27"/>
    </row>
    <row r="262" spans="1:14" x14ac:dyDescent="0.25">
      <c r="A262" t="s">
        <v>255</v>
      </c>
      <c r="B262" s="142"/>
      <c r="C262" s="142"/>
      <c r="D262" s="142"/>
      <c r="E262" s="142"/>
      <c r="F262" s="142"/>
      <c r="G262" s="142"/>
      <c r="H262" s="183"/>
      <c r="I262" s="183">
        <f>Interims!I75</f>
        <v>21532.642780324899</v>
      </c>
      <c r="J262" s="183">
        <f>Interims!L75</f>
        <v>19889.280474497336</v>
      </c>
      <c r="K262" s="142"/>
      <c r="L262" s="142"/>
      <c r="M262" s="184"/>
    </row>
    <row r="263" spans="1:14" x14ac:dyDescent="0.25">
      <c r="B263" s="142"/>
      <c r="C263" s="142"/>
      <c r="D263" s="142"/>
      <c r="E263" s="142"/>
      <c r="F263" s="142"/>
      <c r="G263" s="142"/>
      <c r="H263" s="142"/>
      <c r="I263" s="142"/>
      <c r="J263" s="142"/>
      <c r="K263" s="142"/>
      <c r="L263" s="142"/>
      <c r="M263" s="142"/>
    </row>
    <row r="264" spans="1:14" x14ac:dyDescent="0.25">
      <c r="B264" s="142"/>
      <c r="C264" s="142"/>
      <c r="D264" s="142"/>
      <c r="E264" s="142"/>
      <c r="F264" s="142"/>
      <c r="G264" s="142"/>
      <c r="H264" s="142"/>
      <c r="I264" s="142"/>
      <c r="J264" s="142"/>
      <c r="K264" s="142"/>
      <c r="L264" s="142"/>
      <c r="M264" s="142"/>
    </row>
    <row r="265" spans="1:14" x14ac:dyDescent="0.25">
      <c r="B265" s="142"/>
      <c r="C265" s="142"/>
      <c r="D265" s="142"/>
      <c r="E265" s="142"/>
      <c r="F265" s="142"/>
      <c r="G265" s="142"/>
      <c r="H265" s="142"/>
      <c r="I265" s="142"/>
      <c r="J265" s="142"/>
      <c r="K265" s="142"/>
      <c r="L265" s="142"/>
      <c r="M265" s="142"/>
    </row>
    <row r="266" spans="1:14" x14ac:dyDescent="0.25">
      <c r="B266" s="142"/>
      <c r="C266" s="142"/>
      <c r="D266" s="142"/>
      <c r="E266" s="142"/>
      <c r="F266" s="142"/>
      <c r="G266" s="142"/>
      <c r="H266" s="142"/>
      <c r="I266" s="142"/>
      <c r="J266" s="142"/>
      <c r="K266" s="142"/>
      <c r="L266" s="142"/>
      <c r="M266" s="142"/>
    </row>
    <row r="267" spans="1:14" x14ac:dyDescent="0.25">
      <c r="B267" s="142"/>
      <c r="C267" s="142"/>
      <c r="D267" s="142"/>
      <c r="E267" s="142"/>
      <c r="F267" s="142"/>
      <c r="G267" s="142"/>
      <c r="H267" s="142"/>
      <c r="I267" s="142"/>
      <c r="J267" s="142"/>
      <c r="K267" s="142"/>
      <c r="L267" s="142"/>
      <c r="M267" s="142"/>
    </row>
    <row r="268" spans="1:14" x14ac:dyDescent="0.25">
      <c r="A268" t="s">
        <v>580</v>
      </c>
      <c r="B268" s="142"/>
      <c r="C268" s="142" t="str">
        <f>C260</f>
        <v>Q2 21</v>
      </c>
      <c r="D268" s="142" t="str">
        <f t="shared" ref="D268:J268" si="5">D260</f>
        <v>Q3 21</v>
      </c>
      <c r="E268" s="142" t="str">
        <f t="shared" si="5"/>
        <v>Q4 21</v>
      </c>
      <c r="F268" s="142" t="str">
        <f t="shared" si="5"/>
        <v>Q1 22</v>
      </c>
      <c r="G268" s="142" t="str">
        <f t="shared" si="5"/>
        <v>Q2 22</v>
      </c>
      <c r="H268" s="142" t="str">
        <f t="shared" si="5"/>
        <v>Q3 22</v>
      </c>
      <c r="I268" s="142" t="str">
        <f t="shared" si="5"/>
        <v>Q4 22</v>
      </c>
      <c r="J268" s="142" t="str">
        <f t="shared" si="5"/>
        <v>Q1 23</v>
      </c>
      <c r="K268" s="142"/>
      <c r="L268" s="142"/>
      <c r="M268" s="142"/>
    </row>
    <row r="269" spans="1:14" x14ac:dyDescent="0.25">
      <c r="A269" t="s">
        <v>669</v>
      </c>
      <c r="B269" s="142"/>
      <c r="C269" s="185">
        <f t="shared" ref="C269:J269" si="6">C261/B261-1</f>
        <v>2.2321977843358098E-3</v>
      </c>
      <c r="D269" s="185">
        <f t="shared" si="6"/>
        <v>-1.2388473710137404E-2</v>
      </c>
      <c r="E269" s="185">
        <f t="shared" si="6"/>
        <v>-7.4034802162555868E-3</v>
      </c>
      <c r="F269" s="185">
        <f t="shared" si="6"/>
        <v>7.9092953907889951E-2</v>
      </c>
      <c r="G269" s="185">
        <f t="shared" si="6"/>
        <v>7.8442888117802312E-4</v>
      </c>
      <c r="H269" s="185">
        <f t="shared" si="6"/>
        <v>-2.3940469327498048E-3</v>
      </c>
      <c r="I269" s="185">
        <f t="shared" si="6"/>
        <v>4.4531506427247791E-3</v>
      </c>
      <c r="J269" s="185">
        <f t="shared" si="6"/>
        <v>7.2652040628760073E-3</v>
      </c>
      <c r="K269" s="142"/>
      <c r="L269" s="142"/>
      <c r="M269" s="142"/>
    </row>
    <row r="270" spans="1:14" x14ac:dyDescent="0.25">
      <c r="A270" t="s">
        <v>255</v>
      </c>
      <c r="B270" s="142"/>
      <c r="C270" s="142"/>
      <c r="D270" s="142"/>
      <c r="E270" s="142"/>
      <c r="F270" s="142"/>
      <c r="G270" s="142"/>
      <c r="H270" s="142"/>
      <c r="I270" s="185"/>
      <c r="J270" s="185">
        <f>J262/I262-1</f>
        <v>-7.6319582440161904E-2</v>
      </c>
      <c r="K270" s="142"/>
      <c r="L270" s="142"/>
      <c r="M270" s="142"/>
    </row>
    <row r="271" spans="1:14" x14ac:dyDescent="0.25">
      <c r="B271" s="142"/>
      <c r="C271" s="142"/>
      <c r="D271" s="142"/>
      <c r="E271" s="142"/>
      <c r="F271" s="142"/>
      <c r="G271" s="142"/>
      <c r="H271" s="142"/>
      <c r="I271" s="142"/>
      <c r="J271" s="142"/>
      <c r="K271" s="142"/>
      <c r="L271" s="142"/>
      <c r="M271" s="142"/>
    </row>
    <row r="272" spans="1:14" x14ac:dyDescent="0.25">
      <c r="B272" s="142"/>
      <c r="C272" s="142"/>
      <c r="D272" s="142"/>
      <c r="E272" s="142"/>
      <c r="F272" s="142"/>
      <c r="G272" s="142"/>
      <c r="H272" s="142"/>
      <c r="I272" s="142"/>
      <c r="J272" s="142"/>
      <c r="K272" s="142"/>
      <c r="L272" s="142"/>
      <c r="M272" s="142"/>
    </row>
    <row r="273" spans="1:13" x14ac:dyDescent="0.25">
      <c r="B273" s="142"/>
      <c r="C273" s="142"/>
      <c r="D273" s="142"/>
      <c r="E273" s="142"/>
      <c r="F273" s="142"/>
      <c r="G273" s="142"/>
      <c r="H273" s="142"/>
      <c r="I273" s="142"/>
      <c r="J273" s="142"/>
      <c r="K273" s="142"/>
      <c r="L273" s="142"/>
      <c r="M273" s="142"/>
    </row>
    <row r="274" spans="1:13" x14ac:dyDescent="0.25">
      <c r="A274" s="170" t="s">
        <v>705</v>
      </c>
      <c r="B274" s="142"/>
      <c r="C274" s="142"/>
      <c r="D274" s="142"/>
      <c r="E274" s="142"/>
      <c r="F274" s="142"/>
      <c r="G274" s="142"/>
      <c r="H274" s="142"/>
      <c r="I274" s="142"/>
      <c r="J274" s="142"/>
      <c r="K274" s="142"/>
      <c r="L274" s="142"/>
      <c r="M274" s="142"/>
    </row>
    <row r="275" spans="1:13" x14ac:dyDescent="0.25">
      <c r="B275" s="142"/>
      <c r="C275" s="142"/>
      <c r="D275" s="142"/>
      <c r="E275" s="142"/>
      <c r="F275" s="142"/>
      <c r="G275" s="142"/>
      <c r="H275" s="142"/>
      <c r="I275" s="142"/>
      <c r="J275" s="142"/>
      <c r="K275" s="142"/>
      <c r="L275" s="142"/>
      <c r="M275" s="142"/>
    </row>
    <row r="276" spans="1:13" x14ac:dyDescent="0.25">
      <c r="A276" t="str">
        <f>A270</f>
        <v>Sitios</v>
      </c>
      <c r="B276" s="142" t="s">
        <v>670</v>
      </c>
      <c r="C276" s="142" t="s">
        <v>671</v>
      </c>
      <c r="D276" s="142" t="s">
        <v>672</v>
      </c>
      <c r="E276" s="142" t="s">
        <v>673</v>
      </c>
      <c r="F276" s="142" t="s">
        <v>579</v>
      </c>
      <c r="G276" s="142" t="s">
        <v>519</v>
      </c>
      <c r="H276" s="142" t="s">
        <v>577</v>
      </c>
      <c r="I276" s="142" t="s">
        <v>558</v>
      </c>
      <c r="J276" s="142" t="s">
        <v>666</v>
      </c>
      <c r="K276" s="142"/>
      <c r="L276" s="142"/>
      <c r="M276" s="142"/>
    </row>
    <row r="277" spans="1:13" x14ac:dyDescent="0.25">
      <c r="A277" t="s">
        <v>669</v>
      </c>
      <c r="B277" s="183">
        <v>18333</v>
      </c>
      <c r="C277" s="183">
        <v>18611</v>
      </c>
      <c r="D277" s="183">
        <v>18875</v>
      </c>
      <c r="E277" s="187">
        <f>D277+216</f>
        <v>19091</v>
      </c>
      <c r="F277" s="187">
        <v>20302</v>
      </c>
      <c r="G277" s="183">
        <v>20707</v>
      </c>
      <c r="H277" s="183">
        <v>21053</v>
      </c>
      <c r="I277" s="187">
        <f>H277+261</f>
        <v>21314</v>
      </c>
      <c r="J277" s="183">
        <v>21869</v>
      </c>
      <c r="K277" s="142"/>
      <c r="L277" s="142"/>
      <c r="M277" s="142"/>
    </row>
    <row r="278" spans="1:13" x14ac:dyDescent="0.25">
      <c r="A278" t="s">
        <v>255</v>
      </c>
      <c r="B278" s="142"/>
      <c r="C278" s="142"/>
      <c r="D278" s="142"/>
      <c r="E278" s="142"/>
      <c r="F278" s="142"/>
      <c r="G278" s="142"/>
      <c r="H278" s="183"/>
      <c r="I278" s="187">
        <f>Interims!H4+Interims!I30</f>
        <v>29227</v>
      </c>
      <c r="J278" s="187">
        <f>Interims!I4+Interims!L30</f>
        <v>29748</v>
      </c>
      <c r="K278" s="142"/>
      <c r="L278" s="142"/>
      <c r="M278" s="142"/>
    </row>
    <row r="279" spans="1:13" x14ac:dyDescent="0.25">
      <c r="B279" s="142"/>
      <c r="C279" s="142"/>
      <c r="D279" s="142"/>
      <c r="E279" s="142"/>
      <c r="F279" s="142"/>
      <c r="G279" s="142"/>
      <c r="H279" s="142"/>
      <c r="I279" s="142"/>
      <c r="J279" s="142"/>
      <c r="K279" s="142"/>
      <c r="L279" s="142"/>
      <c r="M279" s="142"/>
    </row>
    <row r="280" spans="1:13" x14ac:dyDescent="0.25">
      <c r="B280" s="142"/>
      <c r="C280" s="142"/>
      <c r="D280" s="142"/>
      <c r="E280" s="142"/>
      <c r="F280" s="142"/>
      <c r="G280" s="142"/>
      <c r="H280" s="142"/>
      <c r="I280" s="142"/>
      <c r="J280" s="142"/>
      <c r="K280" s="142"/>
      <c r="L280" s="142"/>
      <c r="M280" s="142"/>
    </row>
    <row r="281" spans="1:13" x14ac:dyDescent="0.25">
      <c r="B281" s="142"/>
      <c r="C281" s="142"/>
      <c r="D281" s="142"/>
      <c r="E281" s="142"/>
      <c r="F281" s="142"/>
      <c r="G281" s="142"/>
      <c r="H281" s="142"/>
      <c r="I281" s="142"/>
      <c r="J281" s="142"/>
      <c r="K281" s="142"/>
      <c r="L281" s="142"/>
      <c r="M281" s="142"/>
    </row>
    <row r="282" spans="1:13" x14ac:dyDescent="0.25">
      <c r="B282" s="142"/>
      <c r="C282" s="142"/>
      <c r="D282" s="142"/>
      <c r="E282" s="142"/>
      <c r="F282" s="142"/>
      <c r="G282" s="142"/>
      <c r="H282" s="142"/>
      <c r="I282" s="142"/>
      <c r="J282" s="142"/>
      <c r="K282" s="142"/>
      <c r="L282" s="142"/>
      <c r="M282" s="142"/>
    </row>
    <row r="283" spans="1:13" x14ac:dyDescent="0.25">
      <c r="B283" s="142"/>
      <c r="C283" s="142"/>
      <c r="D283" s="142"/>
      <c r="E283" s="142"/>
      <c r="F283" s="142"/>
      <c r="G283" s="142"/>
      <c r="H283" s="142"/>
      <c r="I283" s="142"/>
      <c r="J283" s="142"/>
      <c r="K283" s="142"/>
      <c r="L283" s="142"/>
      <c r="M283" s="142"/>
    </row>
    <row r="284" spans="1:13" x14ac:dyDescent="0.25">
      <c r="B284" s="142"/>
      <c r="C284" s="142"/>
      <c r="D284" s="142"/>
      <c r="E284" s="142"/>
      <c r="F284" s="142"/>
      <c r="G284" s="142"/>
      <c r="H284" s="142"/>
      <c r="I284" s="142"/>
      <c r="J284" s="142"/>
      <c r="K284" s="142"/>
      <c r="L284" s="142"/>
      <c r="M284" s="142"/>
    </row>
    <row r="285" spans="1:13" x14ac:dyDescent="0.25">
      <c r="B285" s="142"/>
      <c r="C285" s="142"/>
      <c r="D285" s="142"/>
      <c r="E285" s="142"/>
      <c r="F285" s="142"/>
      <c r="G285" s="142"/>
      <c r="H285" s="142"/>
      <c r="I285" s="142"/>
      <c r="J285" s="142"/>
      <c r="K285" s="142"/>
      <c r="L285" s="142"/>
      <c r="M285" s="142"/>
    </row>
    <row r="286" spans="1:13" x14ac:dyDescent="0.25">
      <c r="A286" s="170" t="s">
        <v>701</v>
      </c>
      <c r="B286" s="142"/>
      <c r="C286" s="142"/>
      <c r="D286" s="142"/>
      <c r="E286" s="142"/>
      <c r="F286" s="142"/>
      <c r="G286" s="142"/>
      <c r="H286" s="142"/>
      <c r="I286" s="142"/>
      <c r="J286" s="142"/>
      <c r="K286" s="142"/>
      <c r="L286" s="142"/>
      <c r="M286" s="142"/>
    </row>
    <row r="287" spans="1:13" x14ac:dyDescent="0.25">
      <c r="B287" s="142"/>
      <c r="C287" s="142"/>
      <c r="D287" s="142"/>
      <c r="E287" s="142"/>
      <c r="F287" s="142"/>
      <c r="G287" s="142"/>
      <c r="H287" s="142"/>
      <c r="I287" s="142"/>
      <c r="J287" s="142"/>
      <c r="K287" s="142"/>
      <c r="L287" s="142"/>
      <c r="M287" s="142"/>
    </row>
    <row r="288" spans="1:13" x14ac:dyDescent="0.25">
      <c r="A288" t="s">
        <v>669</v>
      </c>
      <c r="B288" s="142" t="s">
        <v>670</v>
      </c>
      <c r="C288" s="142" t="s">
        <v>671</v>
      </c>
      <c r="D288" s="142" t="s">
        <v>672</v>
      </c>
      <c r="E288" s="142" t="s">
        <v>673</v>
      </c>
      <c r="F288" s="142" t="s">
        <v>579</v>
      </c>
      <c r="G288" s="142" t="s">
        <v>519</v>
      </c>
      <c r="H288" s="142" t="s">
        <v>577</v>
      </c>
      <c r="I288" s="142" t="s">
        <v>558</v>
      </c>
      <c r="J288" s="142" t="s">
        <v>666</v>
      </c>
      <c r="K288" s="142"/>
      <c r="L288" s="142"/>
      <c r="M288" s="142"/>
    </row>
    <row r="289" spans="1:13" x14ac:dyDescent="0.25">
      <c r="A289" t="s">
        <v>701</v>
      </c>
      <c r="B289" s="142">
        <v>252</v>
      </c>
      <c r="C289" s="142">
        <v>277</v>
      </c>
      <c r="D289" s="142">
        <v>261</v>
      </c>
      <c r="E289" s="186">
        <v>262.17536423841011</v>
      </c>
      <c r="F289" s="142">
        <v>253</v>
      </c>
      <c r="G289" s="142">
        <v>402</v>
      </c>
      <c r="H289" s="142">
        <v>349</v>
      </c>
      <c r="I289" s="186">
        <v>326.49484634018881</v>
      </c>
      <c r="J289" s="142">
        <v>167</v>
      </c>
      <c r="K289" s="142"/>
      <c r="L289" s="142"/>
      <c r="M289" s="142"/>
    </row>
    <row r="290" spans="1:13" x14ac:dyDescent="0.25">
      <c r="B290" s="142"/>
      <c r="C290" s="142"/>
      <c r="D290" s="142"/>
      <c r="E290" s="142"/>
      <c r="F290" s="142"/>
      <c r="G290" s="142"/>
      <c r="H290" s="142"/>
      <c r="I290" s="142"/>
      <c r="J290" s="142"/>
      <c r="K290" s="142"/>
      <c r="L290" s="142"/>
      <c r="M290" s="142"/>
    </row>
    <row r="291" spans="1:13" x14ac:dyDescent="0.25">
      <c r="B291" s="142"/>
      <c r="C291" s="142"/>
      <c r="D291" s="142"/>
      <c r="E291" s="142"/>
      <c r="F291" s="142"/>
      <c r="G291" s="142"/>
      <c r="H291" s="142"/>
      <c r="I291" s="142"/>
      <c r="J291" s="142"/>
      <c r="K291" s="142"/>
      <c r="L291" s="142"/>
      <c r="M291" s="142"/>
    </row>
    <row r="292" spans="1:13" x14ac:dyDescent="0.25">
      <c r="A292" t="str">
        <f>A286</f>
        <v>Clean tenant net adds</v>
      </c>
      <c r="B292" s="142" t="s">
        <v>670</v>
      </c>
      <c r="C292" s="142" t="s">
        <v>671</v>
      </c>
      <c r="D292" s="142" t="s">
        <v>672</v>
      </c>
      <c r="E292" s="142" t="s">
        <v>673</v>
      </c>
      <c r="F292" s="142" t="s">
        <v>579</v>
      </c>
      <c r="G292" s="142" t="s">
        <v>519</v>
      </c>
      <c r="H292" s="142" t="s">
        <v>577</v>
      </c>
      <c r="I292" s="142" t="s">
        <v>558</v>
      </c>
      <c r="J292" s="142" t="s">
        <v>666</v>
      </c>
      <c r="K292" s="142"/>
      <c r="L292" s="142"/>
      <c r="M292" s="142"/>
    </row>
    <row r="293" spans="1:13" x14ac:dyDescent="0.25">
      <c r="A293" t="s">
        <v>669</v>
      </c>
      <c r="B293" s="183">
        <f>B289</f>
        <v>252</v>
      </c>
      <c r="C293" s="183">
        <f t="shared" ref="C293:J293" si="7">C289</f>
        <v>277</v>
      </c>
      <c r="D293" s="183">
        <f t="shared" si="7"/>
        <v>261</v>
      </c>
      <c r="E293" s="183">
        <f t="shared" si="7"/>
        <v>262.17536423841011</v>
      </c>
      <c r="F293" s="183">
        <f t="shared" si="7"/>
        <v>253</v>
      </c>
      <c r="G293" s="183">
        <f t="shared" si="7"/>
        <v>402</v>
      </c>
      <c r="H293" s="183">
        <f t="shared" si="7"/>
        <v>349</v>
      </c>
      <c r="I293" s="183">
        <f t="shared" si="7"/>
        <v>326.49484634018881</v>
      </c>
      <c r="J293" s="183">
        <f t="shared" si="7"/>
        <v>167</v>
      </c>
      <c r="K293" s="142"/>
      <c r="L293" s="142"/>
      <c r="M293" s="142"/>
    </row>
    <row r="294" spans="1:13" x14ac:dyDescent="0.25">
      <c r="A294" t="s">
        <v>255</v>
      </c>
      <c r="B294" s="142"/>
      <c r="C294" s="142"/>
      <c r="D294" s="142"/>
      <c r="E294" s="142"/>
      <c r="F294" s="142"/>
      <c r="G294" s="142"/>
      <c r="H294" s="183"/>
      <c r="I294" s="183">
        <f>Interims!I43</f>
        <v>271.38000000000011</v>
      </c>
      <c r="J294" s="183">
        <f>Interims!L42</f>
        <v>77.299999999999272</v>
      </c>
      <c r="K294" s="142"/>
      <c r="L294" s="142"/>
      <c r="M294" s="142"/>
    </row>
    <row r="295" spans="1:13" x14ac:dyDescent="0.25">
      <c r="B295" s="142"/>
      <c r="C295" s="142"/>
      <c r="D295" s="142"/>
      <c r="E295" s="142"/>
      <c r="F295" s="142"/>
      <c r="G295" s="142"/>
      <c r="H295" s="142"/>
      <c r="I295" s="142"/>
      <c r="J295" s="142"/>
      <c r="K295" s="142"/>
      <c r="L295" s="142"/>
      <c r="M295" s="142"/>
    </row>
    <row r="296" spans="1:13" x14ac:dyDescent="0.25">
      <c r="B296" s="142"/>
      <c r="C296" s="142"/>
      <c r="D296" s="142"/>
      <c r="E296" s="142"/>
      <c r="F296" s="142"/>
      <c r="G296" s="142"/>
      <c r="H296" s="142"/>
      <c r="I296" s="142"/>
      <c r="J296" s="142"/>
      <c r="K296" s="142"/>
      <c r="L296" s="142"/>
      <c r="M296" s="142"/>
    </row>
    <row r="297" spans="1:13" x14ac:dyDescent="0.25">
      <c r="B297" s="142"/>
      <c r="C297" s="142"/>
      <c r="D297" s="142"/>
      <c r="E297" s="142"/>
      <c r="F297" s="142"/>
      <c r="G297" s="142"/>
      <c r="H297" s="142"/>
      <c r="I297" s="142"/>
      <c r="J297" s="142"/>
      <c r="K297" s="142"/>
      <c r="L297" s="142"/>
      <c r="M297" s="142"/>
    </row>
    <row r="300" spans="1:13" x14ac:dyDescent="0.25">
      <c r="A300" s="170" t="s">
        <v>702</v>
      </c>
    </row>
    <row r="301" spans="1:13" x14ac:dyDescent="0.25">
      <c r="B301" s="142" t="s">
        <v>670</v>
      </c>
      <c r="C301" s="142" t="s">
        <v>671</v>
      </c>
      <c r="D301" s="142" t="s">
        <v>672</v>
      </c>
      <c r="E301" s="142" t="s">
        <v>673</v>
      </c>
      <c r="F301" s="142" t="s">
        <v>579</v>
      </c>
      <c r="G301" s="142" t="s">
        <v>519</v>
      </c>
      <c r="H301" s="142" t="s">
        <v>577</v>
      </c>
      <c r="I301" s="142" t="s">
        <v>558</v>
      </c>
      <c r="J301" s="142" t="s">
        <v>666</v>
      </c>
    </row>
    <row r="303" spans="1:13" x14ac:dyDescent="0.25">
      <c r="A303" t="s">
        <v>704</v>
      </c>
      <c r="C303" s="23">
        <f t="shared" ref="C303:I303" si="8">C261/B261-1</f>
        <v>2.2321977843358098E-3</v>
      </c>
      <c r="D303" s="23">
        <f t="shared" si="8"/>
        <v>-1.2388473710137404E-2</v>
      </c>
      <c r="E303" s="23">
        <f t="shared" si="8"/>
        <v>-7.4034802162555868E-3</v>
      </c>
      <c r="F303" s="23">
        <f t="shared" si="8"/>
        <v>7.9092953907889951E-2</v>
      </c>
      <c r="G303" s="23">
        <f t="shared" si="8"/>
        <v>7.8442888117802312E-4</v>
      </c>
      <c r="H303" s="23">
        <f t="shared" si="8"/>
        <v>-2.3940469327498048E-3</v>
      </c>
      <c r="I303" s="23">
        <f t="shared" si="8"/>
        <v>4.4531506427247791E-3</v>
      </c>
      <c r="J303" s="23">
        <f>J261/I261-1</f>
        <v>7.2652040628760073E-3</v>
      </c>
    </row>
    <row r="304" spans="1:13" x14ac:dyDescent="0.25">
      <c r="A304" t="s">
        <v>706</v>
      </c>
      <c r="C304" s="23">
        <f t="shared" ref="C304:I304" si="9">C277/B277-1</f>
        <v>1.516391207112866E-2</v>
      </c>
      <c r="D304" s="23">
        <f t="shared" si="9"/>
        <v>1.4185159314384022E-2</v>
      </c>
      <c r="E304" s="23">
        <f t="shared" si="9"/>
        <v>1.1443708609271575E-2</v>
      </c>
      <c r="F304" s="23">
        <f t="shared" si="9"/>
        <v>6.3433031271279638E-2</v>
      </c>
      <c r="G304" s="23">
        <f t="shared" si="9"/>
        <v>1.9948773519850249E-2</v>
      </c>
      <c r="H304" s="23">
        <f t="shared" si="9"/>
        <v>1.6709325348915893E-2</v>
      </c>
      <c r="I304" s="23">
        <f t="shared" si="9"/>
        <v>1.2397283047546725E-2</v>
      </c>
      <c r="J304" s="23">
        <f>J277/I277-1</f>
        <v>2.603922304588524E-2</v>
      </c>
    </row>
    <row r="305" spans="1:10" x14ac:dyDescent="0.25">
      <c r="A305" t="s">
        <v>707</v>
      </c>
      <c r="C305" s="188">
        <f t="shared" ref="C305:I305" si="10">C303+C304</f>
        <v>1.739610985546447E-2</v>
      </c>
      <c r="D305" s="188">
        <f t="shared" si="10"/>
        <v>1.7966856042466173E-3</v>
      </c>
      <c r="E305" s="188">
        <f t="shared" si="10"/>
        <v>4.0402283930159877E-3</v>
      </c>
      <c r="F305" s="188">
        <f t="shared" si="10"/>
        <v>0.14252598517916959</v>
      </c>
      <c r="G305" s="188">
        <f t="shared" si="10"/>
        <v>2.0733202401028272E-2</v>
      </c>
      <c r="H305" s="188">
        <f t="shared" si="10"/>
        <v>1.4315278416166088E-2</v>
      </c>
      <c r="I305" s="188">
        <f t="shared" si="10"/>
        <v>1.6850433690271505E-2</v>
      </c>
      <c r="J305" s="188">
        <f>J303+J304</f>
        <v>3.3304427108761248E-2</v>
      </c>
    </row>
    <row r="316" spans="1:10" ht="15.75" x14ac:dyDescent="0.25">
      <c r="A316" s="200" t="s">
        <v>255</v>
      </c>
      <c r="B316" s="201" t="s">
        <v>577</v>
      </c>
      <c r="C316" s="201" t="s">
        <v>558</v>
      </c>
      <c r="D316" s="201" t="s">
        <v>666</v>
      </c>
      <c r="E316" s="191"/>
      <c r="F316" s="191"/>
      <c r="G316" s="190"/>
      <c r="H316" s="190"/>
      <c r="I316" s="190"/>
    </row>
    <row r="317" spans="1:10" ht="15.75" x14ac:dyDescent="0.25">
      <c r="A317" s="196" t="s">
        <v>699</v>
      </c>
      <c r="B317" s="197"/>
      <c r="C317" s="197">
        <f>Interims!I75</f>
        <v>21532.642780324899</v>
      </c>
      <c r="D317" s="197">
        <f>Interims!L75</f>
        <v>19889.280474497336</v>
      </c>
      <c r="E317" s="191"/>
      <c r="F317" s="191"/>
      <c r="G317" s="190"/>
      <c r="H317" s="190"/>
      <c r="I317" s="190"/>
    </row>
    <row r="318" spans="1:10" ht="15.75" x14ac:dyDescent="0.25">
      <c r="A318" s="191" t="s">
        <v>708</v>
      </c>
      <c r="B318" s="193"/>
      <c r="C318" s="193"/>
      <c r="D318" s="194">
        <f>D317/C317-1</f>
        <v>-7.6319582440161904E-2</v>
      </c>
      <c r="E318" s="191"/>
      <c r="F318" s="191"/>
      <c r="G318" s="190"/>
      <c r="H318" s="190"/>
      <c r="I318" s="190"/>
    </row>
    <row r="319" spans="1:10" ht="15.75" x14ac:dyDescent="0.25">
      <c r="A319" s="196" t="s">
        <v>227</v>
      </c>
      <c r="B319" s="197">
        <f>Interims!H4</f>
        <v>29163</v>
      </c>
      <c r="C319" s="197">
        <f>Interims!I4</f>
        <v>29727</v>
      </c>
      <c r="D319" s="197">
        <f>Interims!L4</f>
        <v>34116</v>
      </c>
      <c r="E319" s="191"/>
      <c r="F319" s="191"/>
      <c r="G319" s="190"/>
      <c r="H319" s="190"/>
      <c r="I319" s="190"/>
    </row>
    <row r="320" spans="1:10" ht="15.75" x14ac:dyDescent="0.25">
      <c r="A320" s="191" t="s">
        <v>703</v>
      </c>
      <c r="B320" s="189"/>
      <c r="C320" s="192">
        <f>Interims!I30</f>
        <v>64</v>
      </c>
      <c r="D320" s="192">
        <f>Interims!L30</f>
        <v>21</v>
      </c>
      <c r="E320" s="191"/>
      <c r="F320" s="191"/>
      <c r="G320" s="190"/>
      <c r="H320" s="190"/>
      <c r="I320" s="190"/>
    </row>
    <row r="321" spans="1:9" ht="15.75" x14ac:dyDescent="0.25">
      <c r="A321" s="196" t="s">
        <v>709</v>
      </c>
      <c r="B321" s="199"/>
      <c r="C321" s="199">
        <f t="shared" ref="C321" si="11">(B319+C320)/B319-1</f>
        <v>2.1945616020300207E-3</v>
      </c>
      <c r="D321" s="199">
        <f t="shared" ref="D321" si="12">(C319+D320)/C319-1</f>
        <v>7.0642849934410279E-4</v>
      </c>
      <c r="E321" s="191"/>
      <c r="F321" s="191"/>
      <c r="G321" s="190"/>
      <c r="H321" s="190"/>
      <c r="I321" s="190"/>
    </row>
    <row r="322" spans="1:9" ht="15.75" x14ac:dyDescent="0.25">
      <c r="A322" s="204" t="s">
        <v>707</v>
      </c>
      <c r="B322" s="206"/>
      <c r="C322" s="206"/>
      <c r="D322" s="206">
        <f>D318+D321</f>
        <v>-7.5613153940817801E-2</v>
      </c>
      <c r="E322" s="191"/>
      <c r="F322" s="191"/>
      <c r="G322" s="190"/>
      <c r="H322" s="190"/>
      <c r="I322" s="190"/>
    </row>
    <row r="323" spans="1:9" ht="15.75" x14ac:dyDescent="0.25">
      <c r="A323" s="191"/>
      <c r="B323" s="193"/>
      <c r="C323" s="193"/>
      <c r="D323" s="191"/>
      <c r="E323" s="191"/>
      <c r="F323" s="191"/>
      <c r="G323" s="190"/>
      <c r="H323" s="190"/>
      <c r="I323" s="190"/>
    </row>
    <row r="324" spans="1:9" ht="15.75" x14ac:dyDescent="0.25">
      <c r="A324" s="191"/>
      <c r="B324" s="193"/>
      <c r="C324" s="193"/>
      <c r="D324" s="191"/>
      <c r="E324" s="191"/>
      <c r="F324" s="191"/>
      <c r="G324" s="190"/>
      <c r="H324" s="190"/>
      <c r="I324" s="190"/>
    </row>
    <row r="325" spans="1:9" ht="15.75" x14ac:dyDescent="0.25">
      <c r="A325" s="191"/>
      <c r="B325" s="193"/>
      <c r="C325" s="193"/>
      <c r="D325" s="191"/>
      <c r="E325" s="191"/>
      <c r="F325" s="191"/>
      <c r="G325" s="190"/>
      <c r="H325" s="190"/>
      <c r="I325" s="190"/>
    </row>
    <row r="326" spans="1:9" ht="15.75" x14ac:dyDescent="0.25">
      <c r="A326" s="200" t="s">
        <v>669</v>
      </c>
      <c r="B326" s="201" t="s">
        <v>579</v>
      </c>
      <c r="C326" s="201" t="s">
        <v>519</v>
      </c>
      <c r="D326" s="201" t="s">
        <v>577</v>
      </c>
      <c r="E326" s="201" t="s">
        <v>558</v>
      </c>
      <c r="F326" s="201" t="s">
        <v>666</v>
      </c>
      <c r="G326" s="190"/>
      <c r="H326" s="190"/>
      <c r="I326" s="190"/>
    </row>
    <row r="327" spans="1:9" ht="15.75" x14ac:dyDescent="0.25">
      <c r="A327" s="196" t="s">
        <v>699</v>
      </c>
      <c r="B327" s="197">
        <v>24213.419819249706</v>
      </c>
      <c r="C327" s="197">
        <v>24232.413525068016</v>
      </c>
      <c r="D327" s="197">
        <v>24174.399989795202</v>
      </c>
      <c r="E327" s="197">
        <v>24282.052234647246</v>
      </c>
      <c r="F327" s="197">
        <v>24458.466299197371</v>
      </c>
      <c r="G327" s="190"/>
      <c r="H327" s="190"/>
      <c r="I327" s="190"/>
    </row>
    <row r="328" spans="1:9" ht="15.75" x14ac:dyDescent="0.25">
      <c r="A328" s="191" t="s">
        <v>708</v>
      </c>
      <c r="B328" s="194"/>
      <c r="C328" s="194">
        <f t="shared" ref="C328:E328" si="13">C327/B327-1</f>
        <v>7.8442888117802312E-4</v>
      </c>
      <c r="D328" s="194">
        <f t="shared" si="13"/>
        <v>-2.3940469327498048E-3</v>
      </c>
      <c r="E328" s="194">
        <f t="shared" si="13"/>
        <v>4.4531506427247791E-3</v>
      </c>
      <c r="F328" s="194">
        <f>F327/E327-1</f>
        <v>7.2652040628760073E-3</v>
      </c>
      <c r="G328" s="190"/>
      <c r="H328" s="190"/>
      <c r="I328" s="190"/>
    </row>
    <row r="329" spans="1:9" ht="15.75" x14ac:dyDescent="0.25">
      <c r="A329" s="196" t="s">
        <v>227</v>
      </c>
      <c r="B329" s="197">
        <v>20302</v>
      </c>
      <c r="C329" s="197">
        <v>20707</v>
      </c>
      <c r="D329" s="197">
        <v>21053</v>
      </c>
      <c r="E329" s="197">
        <v>21702</v>
      </c>
      <c r="F329" s="197">
        <v>21869</v>
      </c>
      <c r="G329" s="190"/>
      <c r="H329" s="190"/>
      <c r="I329" s="190"/>
    </row>
    <row r="330" spans="1:9" ht="15.75" x14ac:dyDescent="0.25">
      <c r="A330" s="191" t="s">
        <v>703</v>
      </c>
      <c r="B330" s="193"/>
      <c r="C330" s="193">
        <f>C329-B329</f>
        <v>405</v>
      </c>
      <c r="D330" s="193">
        <f t="shared" ref="D330:F330" si="14">D329-C329</f>
        <v>346</v>
      </c>
      <c r="E330" s="193">
        <v>261</v>
      </c>
      <c r="F330" s="193">
        <f t="shared" si="14"/>
        <v>167</v>
      </c>
      <c r="G330" s="190"/>
      <c r="H330" s="190"/>
      <c r="I330" s="190"/>
    </row>
    <row r="331" spans="1:9" ht="15.75" x14ac:dyDescent="0.25">
      <c r="A331" s="196" t="s">
        <v>709</v>
      </c>
      <c r="B331" s="198"/>
      <c r="C331" s="199">
        <f>(B329+C330)/B329-1</f>
        <v>1.9948773519850249E-2</v>
      </c>
      <c r="D331" s="199">
        <f t="shared" ref="D331:F331" si="15">(C329+D330)/C329-1</f>
        <v>1.6709325348915893E-2</v>
      </c>
      <c r="E331" s="199">
        <f t="shared" si="15"/>
        <v>1.2397283047546725E-2</v>
      </c>
      <c r="F331" s="199">
        <f t="shared" si="15"/>
        <v>7.6951433047645068E-3</v>
      </c>
      <c r="G331" s="190"/>
      <c r="H331" s="190"/>
      <c r="I331" s="190"/>
    </row>
    <row r="332" spans="1:9" ht="15.75" x14ac:dyDescent="0.25">
      <c r="A332" s="204" t="s">
        <v>707</v>
      </c>
      <c r="B332" s="205"/>
      <c r="C332" s="206">
        <f>C328+C331</f>
        <v>2.0733202401028272E-2</v>
      </c>
      <c r="D332" s="206">
        <f>D328+D331</f>
        <v>1.4315278416166088E-2</v>
      </c>
      <c r="E332" s="206">
        <f>E328+E331</f>
        <v>1.6850433690271505E-2</v>
      </c>
      <c r="F332" s="206">
        <f>F328+F331</f>
        <v>1.4960347367640514E-2</v>
      </c>
      <c r="G332" s="190"/>
      <c r="H332" s="190"/>
      <c r="I332" s="190"/>
    </row>
    <row r="333" spans="1:9" ht="15.75" x14ac:dyDescent="0.25">
      <c r="A333" s="190"/>
      <c r="B333" s="190"/>
      <c r="C333" s="190"/>
      <c r="D333" s="190"/>
      <c r="E333" s="190"/>
      <c r="F333" s="190"/>
      <c r="G333" s="190"/>
      <c r="H333" s="190"/>
      <c r="I333" s="190"/>
    </row>
    <row r="334" spans="1:9" ht="15.75" x14ac:dyDescent="0.25">
      <c r="A334" s="190"/>
      <c r="B334" s="190"/>
      <c r="C334" s="190"/>
      <c r="D334" s="190"/>
      <c r="E334" s="190"/>
      <c r="F334" s="190"/>
      <c r="G334" s="190"/>
      <c r="H334" s="190"/>
      <c r="I334" s="190"/>
    </row>
    <row r="335" spans="1:9" ht="15.75" x14ac:dyDescent="0.25">
      <c r="A335" s="190"/>
      <c r="B335" s="190"/>
      <c r="C335" s="190"/>
      <c r="D335" s="190"/>
      <c r="E335" s="190"/>
      <c r="F335" s="190"/>
      <c r="G335" s="190"/>
      <c r="H335" s="190"/>
      <c r="I335" s="190"/>
    </row>
    <row r="336" spans="1:9" ht="15.75" x14ac:dyDescent="0.25">
      <c r="A336" s="190"/>
      <c r="B336" s="190"/>
      <c r="C336" s="190"/>
      <c r="D336" s="190"/>
      <c r="E336" s="190"/>
      <c r="F336" s="190"/>
      <c r="G336" s="190"/>
      <c r="H336" s="190"/>
      <c r="I336" s="190"/>
    </row>
    <row r="337" spans="1:9" ht="15.75" x14ac:dyDescent="0.25">
      <c r="A337" s="190"/>
      <c r="B337" s="190"/>
      <c r="C337" s="190"/>
      <c r="D337" s="190"/>
      <c r="E337" s="190"/>
      <c r="F337" s="190"/>
      <c r="G337" s="190"/>
      <c r="H337" s="190"/>
      <c r="I337" s="190"/>
    </row>
    <row r="338" spans="1:9" ht="15.75" x14ac:dyDescent="0.25">
      <c r="A338" s="190"/>
      <c r="B338" s="190"/>
      <c r="C338" s="190"/>
      <c r="D338" s="190"/>
      <c r="E338" s="190"/>
      <c r="F338" s="190"/>
      <c r="G338" s="195"/>
      <c r="H338" s="190"/>
      <c r="I338" s="190"/>
    </row>
    <row r="339" spans="1:9" x14ac:dyDescent="0.25">
      <c r="G339" s="142"/>
    </row>
    <row r="340" spans="1:9" x14ac:dyDescent="0.25">
      <c r="G340" s="142"/>
    </row>
    <row r="341" spans="1:9" x14ac:dyDescent="0.25">
      <c r="G341" s="142"/>
    </row>
    <row r="342" spans="1:9" x14ac:dyDescent="0.25">
      <c r="G342" s="142"/>
    </row>
    <row r="343" spans="1:9" x14ac:dyDescent="0.25">
      <c r="G343" s="142"/>
    </row>
    <row r="344" spans="1:9" x14ac:dyDescent="0.25">
      <c r="G344" s="142"/>
    </row>
    <row r="345" spans="1:9" x14ac:dyDescent="0.25">
      <c r="G345" s="142"/>
    </row>
    <row r="346" spans="1:9" x14ac:dyDescent="0.25">
      <c r="G346" s="142"/>
    </row>
    <row r="347" spans="1:9" x14ac:dyDescent="0.25">
      <c r="G347" s="142"/>
    </row>
    <row r="348" spans="1:9" x14ac:dyDescent="0.25">
      <c r="G348" s="142"/>
    </row>
    <row r="349" spans="1:9" x14ac:dyDescent="0.25">
      <c r="G349" s="142"/>
    </row>
    <row r="350" spans="1:9" x14ac:dyDescent="0.25">
      <c r="G350" s="142"/>
    </row>
    <row r="351" spans="1:9" x14ac:dyDescent="0.25">
      <c r="G351" s="142"/>
    </row>
    <row r="352" spans="1:9" x14ac:dyDescent="0.25">
      <c r="G352" s="142"/>
    </row>
    <row r="353" spans="7:7" x14ac:dyDescent="0.25">
      <c r="G353" s="142"/>
    </row>
    <row r="354" spans="7:7" x14ac:dyDescent="0.25">
      <c r="G354" s="142"/>
    </row>
    <row r="355" spans="7:7" x14ac:dyDescent="0.25">
      <c r="G355" s="142"/>
    </row>
    <row r="356" spans="7:7" x14ac:dyDescent="0.25">
      <c r="G356" s="142"/>
    </row>
    <row r="357" spans="7:7" x14ac:dyDescent="0.25">
      <c r="G357" s="142"/>
    </row>
    <row r="358" spans="7:7" x14ac:dyDescent="0.25">
      <c r="G358" s="142"/>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2 H J Q V j 6 K 6 3 u l A A A A 9 g A A A B I A H A B D b 2 5 m a W c v U G F j a 2 F n Z S 5 4 b W w g o h g A K K A U A A A A A A A A A A A A A A A A A A A A A A A A A A A A h Y 9 N C s I w G E S v U r J v / o o g 5 W s K u n B j Q R D E b Y i x D b a p N K n p 3 V x 4 J K 9 g R a v u X M 6 b t 5 i 5 X 2 + Q D 0 0 d X X T n T G s z x D B F k b a q P R h b Z q j 3 x 3 i O c g E b q U 6 y 1 N E o W 5 c O 7 p C h y v t z S k g I A Y c E t 1 1 J O K W M 7 I v 1 V l W 6 k e g j m / 9 y b K z z 0 i q N B O x e Y w T H j H E 8 4 w m m Q C Y I h b F f g Y 9 7 n + 0 P h G V f + 7 7 T Q t t 4 t Q A y R S D v D + I B U E s D B B Q A A g A I A N h y U 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Y c l B W K I p H u A 4 A A A A R A A A A E w A c A E Z v c m 1 1 b G F z L 1 N l Y 3 R p b 2 4 x L m 0 g o h g A K K A U A A A A A A A A A A A A A A A A A A A A A A A A A A A A K 0 5 N L s n M z 1 M I h t C G 1 g B Q S w E C L Q A U A A I A C A D Y c l B W P o r r e 6 U A A A D 2 A A A A E g A A A A A A A A A A A A A A A A A A A A A A Q 2 9 u Z m l n L 1 B h Y 2 t h Z 2 U u e G 1 s U E s B A i 0 A F A A C A A g A 2 H J Q V g / K 6 a u k A A A A 6 Q A A A B M A A A A A A A A A A A A A A A A A 8 Q A A A F t D b 2 5 0 Z W 5 0 X 1 R 5 c G V z X S 5 4 b W x Q S w E C L Q A U A A I A C A D Y c l B 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h 2 Y D C O V T L U G J f I N O b 2 c h I Q A A A A A C A A A A A A A Q Z g A A A A E A A C A A A A A 1 2 x z n g a 6 C U l L e q l J 6 K 7 j l Y S G M F j 7 p d J s c k i k 4 M q / f k g A A A A A O g A A A A A I A A C A A A A C g 9 c r y 9 c y P P 4 A j k y T p z u m O o L v 2 c y F x L 4 D l n + E N 0 y 1 t F 1 A A A A C u I q g X i z e k F V W K G y o + c P I b s + C g + x l 5 8 5 L I A 2 C B C r J a h i g q 4 t 1 t 6 d X e f D W I W q y 3 f K P 4 6 c 9 4 h 7 w 1 k V h A q 5 K j Q g V h q 7 e E N 7 L 0 l 4 S a 1 4 N 7 t 1 w o I 0 A A A A A G 2 j P t K v G L o N K W D g A H s I m / S H e 1 2 e Q U n a p j e d I U k b Z t 3 N A t D v H H j f U H i E 3 e O A Z n / E 6 D M R 6 e T 5 j 6 Q 0 P b m T C L u d I I < / D a t a M a s h u p > 
</file>

<file path=customXml/itemProps1.xml><?xml version="1.0" encoding="utf-8"?>
<ds:datastoreItem xmlns:ds="http://schemas.openxmlformats.org/officeDocument/2006/customXml" ds:itemID="{2F94EB6C-722B-47F1-BE44-BB88B8CD214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Master</vt:lpstr>
      <vt:lpstr>Summary</vt:lpstr>
      <vt:lpstr>Interims</vt:lpstr>
      <vt:lpstr>Snaps</vt:lpstr>
      <vt:lpstr>Notes</vt:lpstr>
      <vt:lpstr>Analysis</vt:lpstr>
      <vt:lpstr>Sitios v Opsimex</vt:lpstr>
      <vt:lpstr>Master!Print_Area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dc:creator>
  <cp:lastModifiedBy>David-Mickael Lopes</cp:lastModifiedBy>
  <cp:lastPrinted>2022-04-05T12:45:16Z</cp:lastPrinted>
  <dcterms:created xsi:type="dcterms:W3CDTF">2022-03-31T08:07:43Z</dcterms:created>
  <dcterms:modified xsi:type="dcterms:W3CDTF">2023-12-14T10:35:41Z</dcterms:modified>
</cp:coreProperties>
</file>